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firstSheet="5" activeTab="6"/>
  </bookViews>
  <sheets>
    <sheet name="прил 2" sheetId="30" r:id="rId1"/>
    <sheet name="прил 8 (разд, подразд)" sheetId="12" r:id="rId2"/>
    <sheet name="10 прил(гл.расп,расх)" sheetId="13" r:id="rId3"/>
    <sheet name="10 прил(гл.расп,расх) правка" sheetId="31" r:id="rId4"/>
    <sheet name="Прилож.14 (кап стр)" sheetId="15" r:id="rId5"/>
    <sheet name="пРИЛ 15 ПУБЛИЧН." sheetId="26" r:id="rId6"/>
    <sheet name="Приложение 17 (2011)" sheetId="29" r:id="rId7"/>
    <sheet name="Лист1" sheetId="19" r:id="rId8"/>
  </sheets>
  <externalReferences>
    <externalReference r:id="rId9"/>
  </externalReferences>
  <definedNames>
    <definedName name="В11" localSheetId="2">'10 прил(гл.расп,расх)'!$A$15</definedName>
    <definedName name="В11" localSheetId="3">'10 прил(гл.расп,расх) правка'!$A$15</definedName>
    <definedName name="В11" localSheetId="4">#REF!</definedName>
    <definedName name="В11" localSheetId="6">#REF!</definedName>
    <definedName name="В11">#REF!</definedName>
    <definedName name="_xlnm.Print_Titles" localSheetId="2">'10 прил(гл.расп,расх)'!$11:$11</definedName>
    <definedName name="_xlnm.Print_Titles" localSheetId="3">'10 прил(гл.расп,расх) правка'!$11:$11</definedName>
    <definedName name="_xlnm.Print_Titles" localSheetId="0">'прил 2'!$9:$9</definedName>
    <definedName name="_xlnm.Print_Area" localSheetId="2">'10 прил(гл.расп,расх)'!$A$2:$U$807</definedName>
    <definedName name="_xlnm.Print_Area" localSheetId="3">'10 прил(гл.расп,расх) правка'!$A$2:$U$807</definedName>
    <definedName name="_xlnm.Print_Area" localSheetId="5">'пРИЛ 15 ПУБЛИЧН.'!$A$1:$S$29</definedName>
    <definedName name="_xlnm.Print_Area" localSheetId="1">'прил 8 (разд, подразд)'!$B$2:$I$81</definedName>
    <definedName name="_xlnm.Print_Area" localSheetId="4">'Прилож.14 (кап стр)'!$A$2:$N$35</definedName>
    <definedName name="_xlnm.Print_Area" localSheetId="6">'Приложение 17 (2011)'!$A$2:$AQ$31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J277" i="31" l="1"/>
  <c r="L786" i="31"/>
  <c r="K786" i="31"/>
  <c r="J786" i="31"/>
  <c r="N741" i="31"/>
  <c r="M741" i="31"/>
  <c r="G737" i="31"/>
  <c r="L729" i="31"/>
  <c r="L728" i="31"/>
  <c r="L727" i="31" s="1"/>
  <c r="K728" i="31"/>
  <c r="K727" i="31" s="1"/>
  <c r="K726" i="31" s="1"/>
  <c r="K725" i="31" s="1"/>
  <c r="J728" i="31"/>
  <c r="I728" i="31"/>
  <c r="H728" i="31"/>
  <c r="H727" i="31" s="1"/>
  <c r="H726" i="31" s="1"/>
  <c r="H725" i="31" s="1"/>
  <c r="G728" i="31"/>
  <c r="G727" i="31" s="1"/>
  <c r="G726" i="31" s="1"/>
  <c r="J727" i="31"/>
  <c r="J726" i="31" s="1"/>
  <c r="J725" i="31" s="1"/>
  <c r="I727" i="31"/>
  <c r="I726" i="31" s="1"/>
  <c r="I725" i="31" s="1"/>
  <c r="L726" i="31"/>
  <c r="L725" i="31" s="1"/>
  <c r="L724" i="31"/>
  <c r="N724" i="31" s="1"/>
  <c r="N723" i="31" s="1"/>
  <c r="N722" i="31" s="1"/>
  <c r="N721" i="31" s="1"/>
  <c r="N720" i="31" s="1"/>
  <c r="M723" i="31"/>
  <c r="M722" i="31" s="1"/>
  <c r="K723" i="31"/>
  <c r="K722" i="31" s="1"/>
  <c r="K721" i="31" s="1"/>
  <c r="K720" i="31" s="1"/>
  <c r="J723" i="31"/>
  <c r="I723" i="31"/>
  <c r="H723" i="31"/>
  <c r="H722" i="31" s="1"/>
  <c r="H721" i="31" s="1"/>
  <c r="H720" i="31" s="1"/>
  <c r="G723" i="31"/>
  <c r="G722" i="31" s="1"/>
  <c r="G721" i="31" s="1"/>
  <c r="J722" i="31"/>
  <c r="J721" i="31" s="1"/>
  <c r="J720" i="31" s="1"/>
  <c r="I722" i="31"/>
  <c r="I721" i="31" s="1"/>
  <c r="I720" i="31" s="1"/>
  <c r="M721" i="31"/>
  <c r="M720" i="31" s="1"/>
  <c r="L719" i="31"/>
  <c r="M718" i="31"/>
  <c r="K718" i="31"/>
  <c r="J718" i="31"/>
  <c r="I718" i="31"/>
  <c r="H718" i="31"/>
  <c r="G718" i="31"/>
  <c r="M717" i="31"/>
  <c r="K717" i="31"/>
  <c r="K716" i="31" s="1"/>
  <c r="J717" i="31"/>
  <c r="I717" i="31"/>
  <c r="H717" i="31"/>
  <c r="G717" i="31"/>
  <c r="G716" i="31" s="1"/>
  <c r="M716" i="31"/>
  <c r="J716" i="31"/>
  <c r="I716" i="31"/>
  <c r="H716" i="31"/>
  <c r="K715" i="31"/>
  <c r="L715" i="31" s="1"/>
  <c r="L714" i="31" s="1"/>
  <c r="L713" i="31" s="1"/>
  <c r="L712" i="31" s="1"/>
  <c r="K714" i="31"/>
  <c r="K713" i="31" s="1"/>
  <c r="K712" i="31" s="1"/>
  <c r="J714" i="31"/>
  <c r="J713" i="31" s="1"/>
  <c r="J712" i="31" s="1"/>
  <c r="I714" i="31"/>
  <c r="H714" i="31"/>
  <c r="G714" i="31"/>
  <c r="G713" i="31" s="1"/>
  <c r="I713" i="31"/>
  <c r="I712" i="31" s="1"/>
  <c r="H713" i="31"/>
  <c r="H712" i="31" s="1"/>
  <c r="G712" i="31"/>
  <c r="L711" i="31"/>
  <c r="L710" i="31" s="1"/>
  <c r="K710" i="31"/>
  <c r="J710" i="31"/>
  <c r="P709" i="31"/>
  <c r="L709" i="31"/>
  <c r="L708" i="31"/>
  <c r="K708" i="31"/>
  <c r="J708" i="31"/>
  <c r="L707" i="31"/>
  <c r="N707" i="31" s="1"/>
  <c r="N706" i="31" s="1"/>
  <c r="M706" i="31"/>
  <c r="K706" i="31"/>
  <c r="J706" i="31"/>
  <c r="J703" i="31" s="1"/>
  <c r="I706" i="31"/>
  <c r="H706" i="31"/>
  <c r="H703" i="31" s="1"/>
  <c r="H695" i="31" s="1"/>
  <c r="G706" i="31"/>
  <c r="K705" i="31"/>
  <c r="L705" i="31" s="1"/>
  <c r="G705" i="31"/>
  <c r="M704" i="31"/>
  <c r="J704" i="31"/>
  <c r="I704" i="31"/>
  <c r="I703" i="31" s="1"/>
  <c r="I695" i="31" s="1"/>
  <c r="H704" i="31"/>
  <c r="G704" i="31"/>
  <c r="G703" i="31"/>
  <c r="G695" i="31" s="1"/>
  <c r="L702" i="31"/>
  <c r="L701" i="31" s="1"/>
  <c r="K701" i="31"/>
  <c r="J701" i="31"/>
  <c r="L700" i="31"/>
  <c r="L699" i="31" s="1"/>
  <c r="K699" i="31"/>
  <c r="J699" i="31"/>
  <c r="M698" i="31"/>
  <c r="M697" i="31" s="1"/>
  <c r="K698" i="31"/>
  <c r="G698" i="31"/>
  <c r="J697" i="31"/>
  <c r="J696" i="31" s="1"/>
  <c r="I697" i="31"/>
  <c r="H697" i="31"/>
  <c r="G697" i="31"/>
  <c r="M696" i="31"/>
  <c r="I696" i="31"/>
  <c r="H696" i="31"/>
  <c r="G696" i="31"/>
  <c r="P693" i="31"/>
  <c r="L693" i="31"/>
  <c r="L692" i="31"/>
  <c r="L691" i="31" s="1"/>
  <c r="K692" i="31"/>
  <c r="J692" i="31"/>
  <c r="J691" i="31" s="1"/>
  <c r="K691" i="31"/>
  <c r="K690" i="31"/>
  <c r="L690" i="31" s="1"/>
  <c r="J689" i="31"/>
  <c r="L688" i="31"/>
  <c r="L687" i="31" s="1"/>
  <c r="K687" i="31"/>
  <c r="J687" i="31"/>
  <c r="N686" i="31"/>
  <c r="N685" i="31" s="1"/>
  <c r="N684" i="31" s="1"/>
  <c r="N683" i="31" s="1"/>
  <c r="L686" i="31"/>
  <c r="M685" i="31"/>
  <c r="L685" i="31"/>
  <c r="K685" i="31"/>
  <c r="J685" i="31"/>
  <c r="I685" i="31"/>
  <c r="H685" i="31"/>
  <c r="H684" i="31" s="1"/>
  <c r="G685" i="31"/>
  <c r="G684" i="31" s="1"/>
  <c r="M684" i="31"/>
  <c r="I684" i="31"/>
  <c r="I683" i="31" s="1"/>
  <c r="M683" i="31"/>
  <c r="H683" i="31"/>
  <c r="G683" i="31"/>
  <c r="L682" i="31"/>
  <c r="L681" i="31" s="1"/>
  <c r="L680" i="31" s="1"/>
  <c r="L679" i="31" s="1"/>
  <c r="K681" i="31"/>
  <c r="J681" i="31"/>
  <c r="J680" i="31" s="1"/>
  <c r="J679" i="31" s="1"/>
  <c r="N680" i="31"/>
  <c r="M680" i="31"/>
  <c r="M679" i="31" s="1"/>
  <c r="K680" i="31"/>
  <c r="K679" i="31" s="1"/>
  <c r="N679" i="31"/>
  <c r="M678" i="31"/>
  <c r="L678" i="31"/>
  <c r="M677" i="31"/>
  <c r="M676" i="31" s="1"/>
  <c r="K677" i="31"/>
  <c r="K676" i="31" s="1"/>
  <c r="K675" i="31" s="1"/>
  <c r="K674" i="31" s="1"/>
  <c r="J677" i="31"/>
  <c r="I677" i="31"/>
  <c r="H677" i="31"/>
  <c r="H676" i="31" s="1"/>
  <c r="H675" i="31" s="1"/>
  <c r="H674" i="31" s="1"/>
  <c r="G677" i="31"/>
  <c r="G676" i="31" s="1"/>
  <c r="G675" i="31" s="1"/>
  <c r="G674" i="31" s="1"/>
  <c r="J676" i="31"/>
  <c r="J675" i="31" s="1"/>
  <c r="I676" i="31"/>
  <c r="I675" i="31" s="1"/>
  <c r="I674" i="31" s="1"/>
  <c r="M675" i="31"/>
  <c r="M674" i="31" s="1"/>
  <c r="J674" i="31"/>
  <c r="L672" i="31"/>
  <c r="K672" i="31"/>
  <c r="L671" i="31"/>
  <c r="L670" i="31" s="1"/>
  <c r="K671" i="31"/>
  <c r="K670" i="31" s="1"/>
  <c r="K669" i="31" s="1"/>
  <c r="J671" i="31"/>
  <c r="I671" i="31"/>
  <c r="H671" i="31"/>
  <c r="H670" i="31" s="1"/>
  <c r="G671" i="31"/>
  <c r="G670" i="31" s="1"/>
  <c r="G669" i="31" s="1"/>
  <c r="J670" i="31"/>
  <c r="J669" i="31" s="1"/>
  <c r="J795" i="31" s="1"/>
  <c r="J793" i="31" s="1"/>
  <c r="I670" i="31"/>
  <c r="I669" i="31" s="1"/>
  <c r="L669" i="31"/>
  <c r="H669" i="31"/>
  <c r="J668" i="31"/>
  <c r="L667" i="31"/>
  <c r="L666" i="31" s="1"/>
  <c r="K666" i="31"/>
  <c r="J666" i="31"/>
  <c r="L665" i="31"/>
  <c r="N665" i="31" s="1"/>
  <c r="N664" i="31" s="1"/>
  <c r="N661" i="31" s="1"/>
  <c r="M664" i="31"/>
  <c r="M661" i="31" s="1"/>
  <c r="K664" i="31"/>
  <c r="J664" i="31"/>
  <c r="I664" i="31"/>
  <c r="H664" i="31"/>
  <c r="G664" i="31"/>
  <c r="L663" i="31"/>
  <c r="K662" i="31"/>
  <c r="J662" i="31"/>
  <c r="K661" i="31"/>
  <c r="I661" i="31"/>
  <c r="H661" i="31"/>
  <c r="G661" i="31"/>
  <c r="L660" i="31"/>
  <c r="L659" i="31" s="1"/>
  <c r="K659" i="31"/>
  <c r="J659" i="31"/>
  <c r="L658" i="31"/>
  <c r="L657" i="31" s="1"/>
  <c r="K657" i="31"/>
  <c r="J657" i="31"/>
  <c r="L656" i="31"/>
  <c r="L655" i="31" s="1"/>
  <c r="K655" i="31"/>
  <c r="J655" i="31"/>
  <c r="L654" i="31"/>
  <c r="L653" i="31" s="1"/>
  <c r="K653" i="31"/>
  <c r="J653" i="31"/>
  <c r="L652" i="31"/>
  <c r="J652" i="31"/>
  <c r="M651" i="31"/>
  <c r="K651" i="31"/>
  <c r="J651" i="31"/>
  <c r="I651" i="31"/>
  <c r="H651" i="31"/>
  <c r="L650" i="31"/>
  <c r="N650" i="31" s="1"/>
  <c r="N649" i="31" s="1"/>
  <c r="N648" i="31" s="1"/>
  <c r="M649" i="31"/>
  <c r="M648" i="31" s="1"/>
  <c r="K649" i="31"/>
  <c r="J649" i="31"/>
  <c r="I649" i="31"/>
  <c r="I648" i="31" s="1"/>
  <c r="H649" i="31"/>
  <c r="H648" i="31" s="1"/>
  <c r="G649" i="31"/>
  <c r="K648" i="31"/>
  <c r="J648" i="31"/>
  <c r="G648" i="31"/>
  <c r="L647" i="31"/>
  <c r="N647" i="31" s="1"/>
  <c r="J647" i="31"/>
  <c r="M646" i="31"/>
  <c r="K646" i="31"/>
  <c r="I646" i="31"/>
  <c r="H646" i="31"/>
  <c r="G646" i="31"/>
  <c r="J645" i="31"/>
  <c r="L645" i="31" s="1"/>
  <c r="M644" i="31"/>
  <c r="K644" i="31"/>
  <c r="I644" i="31"/>
  <c r="H644" i="31"/>
  <c r="J643" i="31"/>
  <c r="L643" i="31" s="1"/>
  <c r="N643" i="31" s="1"/>
  <c r="L642" i="31"/>
  <c r="N642" i="31" s="1"/>
  <c r="J642" i="31"/>
  <c r="G642" i="31"/>
  <c r="G641" i="31" s="1"/>
  <c r="G640" i="31" s="1"/>
  <c r="G639" i="31" s="1"/>
  <c r="G635" i="31" s="1"/>
  <c r="M641" i="31"/>
  <c r="M640" i="31" s="1"/>
  <c r="M639" i="31" s="1"/>
  <c r="M635" i="31" s="1"/>
  <c r="K641" i="31"/>
  <c r="K640" i="31" s="1"/>
  <c r="I641" i="31"/>
  <c r="H641" i="31"/>
  <c r="H640" i="31" s="1"/>
  <c r="H639" i="31" s="1"/>
  <c r="H635" i="31" s="1"/>
  <c r="I640" i="31"/>
  <c r="I639" i="31" s="1"/>
  <c r="I635" i="31" s="1"/>
  <c r="K639" i="31"/>
  <c r="L638" i="31"/>
  <c r="L637" i="31" s="1"/>
  <c r="L636" i="31" s="1"/>
  <c r="K637" i="31"/>
  <c r="J637" i="31"/>
  <c r="J636" i="31" s="1"/>
  <c r="K636" i="31"/>
  <c r="N634" i="31"/>
  <c r="L634" i="31"/>
  <c r="N633" i="31"/>
  <c r="M633" i="31"/>
  <c r="L633" i="31"/>
  <c r="K633" i="31"/>
  <c r="J633" i="31"/>
  <c r="I633" i="31"/>
  <c r="H633" i="31"/>
  <c r="G633" i="31"/>
  <c r="N632" i="31"/>
  <c r="M632" i="31"/>
  <c r="L632" i="31"/>
  <c r="K632" i="31"/>
  <c r="J632" i="31"/>
  <c r="I632" i="31"/>
  <c r="H632" i="31"/>
  <c r="G632" i="31"/>
  <c r="N631" i="31"/>
  <c r="N777" i="31" s="1"/>
  <c r="M631" i="31"/>
  <c r="L631" i="31"/>
  <c r="K631" i="31"/>
  <c r="J631" i="31"/>
  <c r="J777" i="31" s="1"/>
  <c r="I631" i="31"/>
  <c r="H631" i="31"/>
  <c r="G631" i="31"/>
  <c r="G777" i="31" s="1"/>
  <c r="L630" i="31"/>
  <c r="L629" i="31" s="1"/>
  <c r="L624" i="31" s="1"/>
  <c r="L623" i="31" s="1"/>
  <c r="K629" i="31"/>
  <c r="J629" i="31"/>
  <c r="L628" i="31"/>
  <c r="N628" i="31" s="1"/>
  <c r="G628" i="31"/>
  <c r="N627" i="31"/>
  <c r="M627" i="31"/>
  <c r="L627" i="31"/>
  <c r="K627" i="31"/>
  <c r="J627" i="31"/>
  <c r="I627" i="31"/>
  <c r="H627" i="31"/>
  <c r="H624" i="31" s="1"/>
  <c r="G627" i="31"/>
  <c r="G624" i="31" s="1"/>
  <c r="G623" i="31" s="1"/>
  <c r="L626" i="31"/>
  <c r="L625" i="31" s="1"/>
  <c r="K625" i="31"/>
  <c r="J625" i="31"/>
  <c r="J624" i="31" s="1"/>
  <c r="N624" i="31"/>
  <c r="M624" i="31"/>
  <c r="K624" i="31"/>
  <c r="K623" i="31" s="1"/>
  <c r="I624" i="31"/>
  <c r="I623" i="31" s="1"/>
  <c r="M623" i="31"/>
  <c r="L622" i="31"/>
  <c r="N622" i="31" s="1"/>
  <c r="N621" i="31" s="1"/>
  <c r="N620" i="31" s="1"/>
  <c r="N619" i="31" s="1"/>
  <c r="M621" i="31"/>
  <c r="M620" i="31" s="1"/>
  <c r="M619" i="31" s="1"/>
  <c r="K621" i="31"/>
  <c r="J621" i="31"/>
  <c r="I621" i="31"/>
  <c r="I620" i="31" s="1"/>
  <c r="I619" i="31" s="1"/>
  <c r="I604" i="31" s="1"/>
  <c r="H621" i="31"/>
  <c r="H620" i="31" s="1"/>
  <c r="H619" i="31" s="1"/>
  <c r="G621" i="31"/>
  <c r="K620" i="31"/>
  <c r="K619" i="31" s="1"/>
  <c r="J620" i="31"/>
  <c r="J619" i="31" s="1"/>
  <c r="G620" i="31"/>
  <c r="G619" i="31" s="1"/>
  <c r="L618" i="31"/>
  <c r="L617" i="31" s="1"/>
  <c r="L616" i="31" s="1"/>
  <c r="L615" i="31" s="1"/>
  <c r="K617" i="31"/>
  <c r="K616" i="31" s="1"/>
  <c r="K615" i="31" s="1"/>
  <c r="J617" i="31"/>
  <c r="J616" i="31" s="1"/>
  <c r="J615" i="31" s="1"/>
  <c r="I617" i="31"/>
  <c r="I616" i="31" s="1"/>
  <c r="H617" i="31"/>
  <c r="G617" i="31"/>
  <c r="G616" i="31" s="1"/>
  <c r="G615" i="31" s="1"/>
  <c r="H616" i="31"/>
  <c r="H615" i="31" s="1"/>
  <c r="I615" i="31"/>
  <c r="L614" i="31"/>
  <c r="M613" i="31"/>
  <c r="K613" i="31"/>
  <c r="J613" i="31"/>
  <c r="I613" i="31"/>
  <c r="H613" i="31"/>
  <c r="G613" i="31"/>
  <c r="M612" i="31"/>
  <c r="K612" i="31"/>
  <c r="K611" i="31" s="1"/>
  <c r="K770" i="31" s="1"/>
  <c r="J612" i="31"/>
  <c r="I612" i="31"/>
  <c r="H612" i="31"/>
  <c r="G612" i="31"/>
  <c r="G611" i="31" s="1"/>
  <c r="M611" i="31"/>
  <c r="M770" i="31" s="1"/>
  <c r="J611" i="31"/>
  <c r="J770" i="31" s="1"/>
  <c r="I611" i="31"/>
  <c r="I770" i="31" s="1"/>
  <c r="H611" i="31"/>
  <c r="H770" i="31" s="1"/>
  <c r="L610" i="31"/>
  <c r="L609" i="31" s="1"/>
  <c r="K609" i="31"/>
  <c r="J609" i="31"/>
  <c r="K608" i="31"/>
  <c r="L607" i="31"/>
  <c r="N607" i="31" s="1"/>
  <c r="M606" i="31"/>
  <c r="M605" i="31" s="1"/>
  <c r="J606" i="31"/>
  <c r="J605" i="31" s="1"/>
  <c r="L603" i="31"/>
  <c r="L602" i="31" s="1"/>
  <c r="L601" i="31" s="1"/>
  <c r="K602" i="31"/>
  <c r="J602" i="31"/>
  <c r="J601" i="31" s="1"/>
  <c r="K601" i="31"/>
  <c r="N600" i="31"/>
  <c r="N599" i="31" s="1"/>
  <c r="N598" i="31" s="1"/>
  <c r="L600" i="31"/>
  <c r="M599" i="31"/>
  <c r="M598" i="31" s="1"/>
  <c r="L599" i="31"/>
  <c r="K599" i="31"/>
  <c r="J599" i="31"/>
  <c r="I599" i="31"/>
  <c r="I598" i="31" s="1"/>
  <c r="H599" i="31"/>
  <c r="G599" i="31"/>
  <c r="L598" i="31"/>
  <c r="K598" i="31"/>
  <c r="J598" i="31"/>
  <c r="H598" i="31"/>
  <c r="G598" i="31"/>
  <c r="L597" i="31"/>
  <c r="G597" i="31"/>
  <c r="M596" i="31"/>
  <c r="K596" i="31"/>
  <c r="J596" i="31"/>
  <c r="I596" i="31"/>
  <c r="H596" i="31"/>
  <c r="G596" i="31"/>
  <c r="G592" i="31" s="1"/>
  <c r="G569" i="31" s="1"/>
  <c r="K595" i="31"/>
  <c r="K594" i="31" s="1"/>
  <c r="K593" i="31" s="1"/>
  <c r="J595" i="31"/>
  <c r="M594" i="31"/>
  <c r="J594" i="31"/>
  <c r="J593" i="31" s="1"/>
  <c r="J592" i="31" s="1"/>
  <c r="I594" i="31"/>
  <c r="I593" i="31" s="1"/>
  <c r="H594" i="31"/>
  <c r="H593" i="31" s="1"/>
  <c r="H592" i="31" s="1"/>
  <c r="G594" i="31"/>
  <c r="M593" i="31"/>
  <c r="G593" i="31"/>
  <c r="K591" i="31"/>
  <c r="L591" i="31" s="1"/>
  <c r="M590" i="31"/>
  <c r="K590" i="31"/>
  <c r="K589" i="31" s="1"/>
  <c r="J590" i="31"/>
  <c r="J589" i="31" s="1"/>
  <c r="I590" i="31"/>
  <c r="H590" i="31"/>
  <c r="G590" i="31"/>
  <c r="L588" i="31"/>
  <c r="L587" i="31" s="1"/>
  <c r="G588" i="31"/>
  <c r="G587" i="31" s="1"/>
  <c r="K587" i="31"/>
  <c r="J587" i="31"/>
  <c r="J582" i="31" s="1"/>
  <c r="I587" i="31"/>
  <c r="H587" i="31"/>
  <c r="L586" i="31"/>
  <c r="L585" i="31" s="1"/>
  <c r="J586" i="31"/>
  <c r="G586" i="31"/>
  <c r="G585" i="31" s="1"/>
  <c r="K585" i="31"/>
  <c r="J585" i="31"/>
  <c r="I585" i="31"/>
  <c r="H585" i="31"/>
  <c r="L584" i="31"/>
  <c r="N584" i="31" s="1"/>
  <c r="N583" i="31" s="1"/>
  <c r="N582" i="31" s="1"/>
  <c r="J584" i="31"/>
  <c r="G584" i="31"/>
  <c r="M583" i="31"/>
  <c r="K583" i="31"/>
  <c r="K582" i="31" s="1"/>
  <c r="J583" i="31"/>
  <c r="I583" i="31"/>
  <c r="I582" i="31" s="1"/>
  <c r="H583" i="31"/>
  <c r="G583" i="31"/>
  <c r="M582" i="31"/>
  <c r="G582" i="31"/>
  <c r="L581" i="31"/>
  <c r="L580" i="31" s="1"/>
  <c r="N580" i="31" s="1"/>
  <c r="K580" i="31"/>
  <c r="J580" i="31"/>
  <c r="L579" i="31"/>
  <c r="N579" i="31" s="1"/>
  <c r="M578" i="31"/>
  <c r="L578" i="31"/>
  <c r="K578" i="31"/>
  <c r="J578" i="31"/>
  <c r="L577" i="31"/>
  <c r="L576" i="31"/>
  <c r="L575" i="31" s="1"/>
  <c r="K576" i="31"/>
  <c r="K575" i="31" s="1"/>
  <c r="J576" i="31"/>
  <c r="J575" i="31" s="1"/>
  <c r="L573" i="31"/>
  <c r="N573" i="31" s="1"/>
  <c r="N572" i="31" s="1"/>
  <c r="N571" i="31" s="1"/>
  <c r="N570" i="31" s="1"/>
  <c r="M572" i="31"/>
  <c r="M571" i="31" s="1"/>
  <c r="M570" i="31" s="1"/>
  <c r="K572" i="31"/>
  <c r="K571" i="31" s="1"/>
  <c r="K570" i="31" s="1"/>
  <c r="J572" i="31"/>
  <c r="I572" i="31"/>
  <c r="I571" i="31" s="1"/>
  <c r="I570" i="31" s="1"/>
  <c r="H572" i="31"/>
  <c r="H571" i="31" s="1"/>
  <c r="H570" i="31" s="1"/>
  <c r="H569" i="31" s="1"/>
  <c r="J571" i="31"/>
  <c r="J570" i="31" s="1"/>
  <c r="L568" i="31"/>
  <c r="L567" i="31" s="1"/>
  <c r="J568" i="31"/>
  <c r="K567" i="31"/>
  <c r="J567" i="31"/>
  <c r="L566" i="31"/>
  <c r="N566" i="31" s="1"/>
  <c r="J566" i="31"/>
  <c r="J565" i="31"/>
  <c r="L565" i="31" s="1"/>
  <c r="M564" i="31"/>
  <c r="K564" i="31"/>
  <c r="K563" i="31" s="1"/>
  <c r="K761" i="31" s="1"/>
  <c r="I564" i="31"/>
  <c r="I563" i="31" s="1"/>
  <c r="I761" i="31" s="1"/>
  <c r="H564" i="31"/>
  <c r="G564" i="31"/>
  <c r="G563" i="31" s="1"/>
  <c r="G761" i="31" s="1"/>
  <c r="M563" i="31"/>
  <c r="M761" i="31" s="1"/>
  <c r="H563" i="31"/>
  <c r="H761" i="31" s="1"/>
  <c r="L562" i="31"/>
  <c r="N562" i="31" s="1"/>
  <c r="N561" i="31" s="1"/>
  <c r="N558" i="31" s="1"/>
  <c r="N557" i="31" s="1"/>
  <c r="N760" i="31" s="1"/>
  <c r="K562" i="31"/>
  <c r="M561" i="31"/>
  <c r="M558" i="31" s="1"/>
  <c r="M557" i="31" s="1"/>
  <c r="M760" i="31" s="1"/>
  <c r="L561" i="31"/>
  <c r="K561" i="31"/>
  <c r="J561" i="31"/>
  <c r="I561" i="31"/>
  <c r="H561" i="31"/>
  <c r="G561" i="31"/>
  <c r="L560" i="31"/>
  <c r="L559" i="31" s="1"/>
  <c r="K559" i="31"/>
  <c r="K558" i="31" s="1"/>
  <c r="K557" i="31" s="1"/>
  <c r="J559" i="31"/>
  <c r="J558" i="31" s="1"/>
  <c r="I558" i="31"/>
  <c r="H558" i="31"/>
  <c r="H557" i="31" s="1"/>
  <c r="H760" i="31" s="1"/>
  <c r="G558" i="31"/>
  <c r="G557" i="31" s="1"/>
  <c r="G760" i="31" s="1"/>
  <c r="J557" i="31"/>
  <c r="I557" i="31"/>
  <c r="I760" i="31" s="1"/>
  <c r="L556" i="31"/>
  <c r="L555" i="31" s="1"/>
  <c r="K555" i="31"/>
  <c r="J555" i="31"/>
  <c r="L554" i="31"/>
  <c r="M553" i="31"/>
  <c r="K553" i="31"/>
  <c r="J553" i="31"/>
  <c r="J550" i="31" s="1"/>
  <c r="I553" i="31"/>
  <c r="I550" i="31" s="1"/>
  <c r="H553" i="31"/>
  <c r="G553" i="31"/>
  <c r="L552" i="31"/>
  <c r="L551" i="31" s="1"/>
  <c r="K551" i="31"/>
  <c r="J551" i="31"/>
  <c r="M550" i="31"/>
  <c r="H550" i="31"/>
  <c r="G550" i="31"/>
  <c r="L549" i="31"/>
  <c r="L548" i="31" s="1"/>
  <c r="N548" i="31"/>
  <c r="M548" i="31"/>
  <c r="K548" i="31"/>
  <c r="J548" i="31"/>
  <c r="J547" i="31"/>
  <c r="L547" i="31" s="1"/>
  <c r="M546" i="31"/>
  <c r="K546" i="31"/>
  <c r="I546" i="31"/>
  <c r="H546" i="31"/>
  <c r="G546" i="31"/>
  <c r="G543" i="31" s="1"/>
  <c r="M545" i="31"/>
  <c r="M544" i="31" s="1"/>
  <c r="K545" i="31"/>
  <c r="K544" i="31" s="1"/>
  <c r="J545" i="31"/>
  <c r="J544" i="31"/>
  <c r="I544" i="31"/>
  <c r="H544" i="31"/>
  <c r="G544" i="31"/>
  <c r="H543" i="31"/>
  <c r="N542" i="31"/>
  <c r="N541" i="31" s="1"/>
  <c r="L542" i="31"/>
  <c r="M541" i="31"/>
  <c r="L541" i="31"/>
  <c r="K541" i="31"/>
  <c r="J541" i="31"/>
  <c r="I541" i="31"/>
  <c r="I538" i="31" s="1"/>
  <c r="H541" i="31"/>
  <c r="G541" i="31"/>
  <c r="K540" i="31"/>
  <c r="L540" i="31" s="1"/>
  <c r="M539" i="31"/>
  <c r="M538" i="31" s="1"/>
  <c r="K539" i="31"/>
  <c r="K538" i="31" s="1"/>
  <c r="J539" i="31"/>
  <c r="I539" i="31"/>
  <c r="H539" i="31"/>
  <c r="G539" i="31"/>
  <c r="G538" i="31" s="1"/>
  <c r="K537" i="31"/>
  <c r="M536" i="31"/>
  <c r="J536" i="31"/>
  <c r="I536" i="31"/>
  <c r="H536" i="31"/>
  <c r="L535" i="31"/>
  <c r="G535" i="31"/>
  <c r="M534" i="31"/>
  <c r="M533" i="31" s="1"/>
  <c r="K534" i="31"/>
  <c r="K533" i="31" s="1"/>
  <c r="J534" i="31"/>
  <c r="I534" i="31"/>
  <c r="I533" i="31" s="1"/>
  <c r="H534" i="31"/>
  <c r="G534" i="31"/>
  <c r="J533" i="31"/>
  <c r="H533" i="31"/>
  <c r="G533" i="31"/>
  <c r="G522" i="31" s="1"/>
  <c r="L532" i="31"/>
  <c r="L531" i="31" s="1"/>
  <c r="K531" i="31"/>
  <c r="J531" i="31"/>
  <c r="L530" i="31"/>
  <c r="N530" i="31" s="1"/>
  <c r="L529" i="31"/>
  <c r="N529" i="31" s="1"/>
  <c r="L528" i="31"/>
  <c r="N528" i="31" s="1"/>
  <c r="L527" i="31"/>
  <c r="N527" i="31" s="1"/>
  <c r="M526" i="31"/>
  <c r="K526" i="31"/>
  <c r="J526" i="31"/>
  <c r="I526" i="31"/>
  <c r="H526" i="31"/>
  <c r="H522" i="31" s="1"/>
  <c r="H759" i="31" s="1"/>
  <c r="L525" i="31"/>
  <c r="N525" i="31" s="1"/>
  <c r="R524" i="31"/>
  <c r="L524" i="31"/>
  <c r="N524" i="31" s="1"/>
  <c r="N523" i="31" s="1"/>
  <c r="M523" i="31"/>
  <c r="K523" i="31"/>
  <c r="J523" i="31"/>
  <c r="L521" i="31"/>
  <c r="L520" i="31" s="1"/>
  <c r="K520" i="31"/>
  <c r="J520" i="31"/>
  <c r="L519" i="31"/>
  <c r="L518" i="31" s="1"/>
  <c r="K518" i="31"/>
  <c r="J518" i="31"/>
  <c r="L517" i="31"/>
  <c r="R516" i="31"/>
  <c r="M516" i="31"/>
  <c r="K516" i="31"/>
  <c r="J516" i="31"/>
  <c r="I516" i="31"/>
  <c r="H516" i="31"/>
  <c r="N514" i="31"/>
  <c r="N513" i="31" s="1"/>
  <c r="L514" i="31"/>
  <c r="M513" i="31"/>
  <c r="L513" i="31"/>
  <c r="K513" i="31"/>
  <c r="J513" i="31"/>
  <c r="I513" i="31"/>
  <c r="H513" i="31"/>
  <c r="H510" i="31" s="1"/>
  <c r="L512" i="31"/>
  <c r="N512" i="31" s="1"/>
  <c r="N511" i="31" s="1"/>
  <c r="M511" i="31"/>
  <c r="K511" i="31"/>
  <c r="J511" i="31"/>
  <c r="I511" i="31"/>
  <c r="H511" i="31"/>
  <c r="G511" i="31"/>
  <c r="G758" i="31" s="1"/>
  <c r="M510" i="31"/>
  <c r="I510" i="31"/>
  <c r="G510" i="31"/>
  <c r="L508" i="31"/>
  <c r="L507" i="31"/>
  <c r="K507" i="31"/>
  <c r="J507" i="31"/>
  <c r="L506" i="31"/>
  <c r="M505" i="31"/>
  <c r="K505" i="31"/>
  <c r="J505" i="31"/>
  <c r="J504" i="31" s="1"/>
  <c r="I505" i="31"/>
  <c r="H505" i="31"/>
  <c r="G505" i="31"/>
  <c r="M504" i="31"/>
  <c r="K504" i="31"/>
  <c r="I504" i="31"/>
  <c r="H504" i="31"/>
  <c r="G504" i="31"/>
  <c r="L503" i="31"/>
  <c r="L502" i="31"/>
  <c r="L501" i="31"/>
  <c r="P501" i="31" s="1"/>
  <c r="H501" i="31"/>
  <c r="H500" i="31" s="1"/>
  <c r="G501" i="31"/>
  <c r="G500" i="31" s="1"/>
  <c r="M500" i="31"/>
  <c r="K500" i="31"/>
  <c r="J500" i="31"/>
  <c r="I500" i="31"/>
  <c r="I497" i="31" s="1"/>
  <c r="M499" i="31"/>
  <c r="J499" i="31"/>
  <c r="L499" i="31" s="1"/>
  <c r="I499" i="31"/>
  <c r="G499" i="31"/>
  <c r="M498" i="31"/>
  <c r="K498" i="31"/>
  <c r="I498" i="31"/>
  <c r="H498" i="31"/>
  <c r="G498" i="31"/>
  <c r="M497" i="31"/>
  <c r="G497" i="31"/>
  <c r="L496" i="31"/>
  <c r="N496" i="31" s="1"/>
  <c r="N495" i="31" s="1"/>
  <c r="N494" i="31" s="1"/>
  <c r="N755" i="31" s="1"/>
  <c r="J496" i="31"/>
  <c r="J495" i="31" s="1"/>
  <c r="J494" i="31" s="1"/>
  <c r="J755" i="31" s="1"/>
  <c r="M495" i="31"/>
  <c r="M494" i="31" s="1"/>
  <c r="M755" i="31" s="1"/>
  <c r="L495" i="31"/>
  <c r="L494" i="31" s="1"/>
  <c r="L755" i="31" s="1"/>
  <c r="K495" i="31"/>
  <c r="K494" i="31" s="1"/>
  <c r="K755" i="31" s="1"/>
  <c r="I495" i="31"/>
  <c r="H495" i="31"/>
  <c r="H494" i="31" s="1"/>
  <c r="H755" i="31" s="1"/>
  <c r="I494" i="31"/>
  <c r="I755" i="31" s="1"/>
  <c r="N493" i="31"/>
  <c r="N492" i="31" s="1"/>
  <c r="N491" i="31" s="1"/>
  <c r="N754" i="31" s="1"/>
  <c r="L493" i="31"/>
  <c r="M492" i="31"/>
  <c r="M491" i="31" s="1"/>
  <c r="M754" i="31" s="1"/>
  <c r="L492" i="31"/>
  <c r="K492" i="31"/>
  <c r="J492" i="31"/>
  <c r="I492" i="31"/>
  <c r="I491" i="31" s="1"/>
  <c r="I754" i="31" s="1"/>
  <c r="H492" i="31"/>
  <c r="G492" i="31"/>
  <c r="L491" i="31"/>
  <c r="L754" i="31" s="1"/>
  <c r="K491" i="31"/>
  <c r="K754" i="31" s="1"/>
  <c r="J491" i="31"/>
  <c r="J754" i="31" s="1"/>
  <c r="H491" i="31"/>
  <c r="H754" i="31" s="1"/>
  <c r="G491" i="31"/>
  <c r="G754" i="31" s="1"/>
  <c r="K490" i="31"/>
  <c r="L490" i="31" s="1"/>
  <c r="L489" i="31" s="1"/>
  <c r="L488" i="31" s="1"/>
  <c r="L753" i="31" s="1"/>
  <c r="M489" i="31"/>
  <c r="M488" i="31" s="1"/>
  <c r="K489" i="31"/>
  <c r="K488" i="31" s="1"/>
  <c r="J489" i="31"/>
  <c r="I489" i="31"/>
  <c r="H489" i="31"/>
  <c r="H488" i="31" s="1"/>
  <c r="G489" i="31"/>
  <c r="G488" i="31" s="1"/>
  <c r="G484" i="31" s="1"/>
  <c r="J488" i="31"/>
  <c r="J753" i="31" s="1"/>
  <c r="I488" i="31"/>
  <c r="L487" i="31"/>
  <c r="L486" i="31"/>
  <c r="L485" i="31" s="1"/>
  <c r="K486" i="31"/>
  <c r="J486" i="31"/>
  <c r="J485" i="31" s="1"/>
  <c r="K485" i="31"/>
  <c r="L483" i="31"/>
  <c r="L482" i="31" s="1"/>
  <c r="L481" i="31" s="1"/>
  <c r="L750" i="31" s="1"/>
  <c r="K482" i="31"/>
  <c r="K481" i="31" s="1"/>
  <c r="K750" i="31" s="1"/>
  <c r="J482" i="31"/>
  <c r="J481" i="31"/>
  <c r="L480" i="31"/>
  <c r="M479" i="31"/>
  <c r="K479" i="31"/>
  <c r="K478" i="31" s="1"/>
  <c r="J479" i="31"/>
  <c r="J478" i="31" s="1"/>
  <c r="I479" i="31"/>
  <c r="H479" i="31"/>
  <c r="G479" i="31"/>
  <c r="G478" i="31" s="1"/>
  <c r="M478" i="31"/>
  <c r="M477" i="31" s="1"/>
  <c r="I478" i="31"/>
  <c r="I477" i="31" s="1"/>
  <c r="H478" i="31"/>
  <c r="H477" i="31" s="1"/>
  <c r="H749" i="31" s="1"/>
  <c r="K477" i="31"/>
  <c r="J477" i="31"/>
  <c r="J749" i="31" s="1"/>
  <c r="G477" i="31"/>
  <c r="G749" i="31" s="1"/>
  <c r="G476" i="31"/>
  <c r="M475" i="31"/>
  <c r="L475" i="31"/>
  <c r="H475" i="31"/>
  <c r="H474" i="31" s="1"/>
  <c r="H473" i="31" s="1"/>
  <c r="H470" i="31" s="1"/>
  <c r="M474" i="31"/>
  <c r="M473" i="31" s="1"/>
  <c r="M470" i="31" s="1"/>
  <c r="L474" i="31"/>
  <c r="K474" i="31"/>
  <c r="J474" i="31"/>
  <c r="J473" i="31" s="1"/>
  <c r="I474" i="31"/>
  <c r="I473" i="31" s="1"/>
  <c r="I470" i="31" s="1"/>
  <c r="G474" i="31"/>
  <c r="L473" i="31"/>
  <c r="K473" i="31"/>
  <c r="K470" i="31" s="1"/>
  <c r="K744" i="31" s="1"/>
  <c r="G473" i="31"/>
  <c r="G470" i="31" s="1"/>
  <c r="P472" i="31"/>
  <c r="N472" i="31"/>
  <c r="L472" i="31"/>
  <c r="N471" i="31"/>
  <c r="M471" i="31"/>
  <c r="L471" i="31"/>
  <c r="K471" i="31"/>
  <c r="J471" i="31"/>
  <c r="J470" i="31" s="1"/>
  <c r="J744" i="31" s="1"/>
  <c r="I471" i="31"/>
  <c r="H471" i="31"/>
  <c r="G471" i="31"/>
  <c r="L470" i="31"/>
  <c r="L744" i="31" s="1"/>
  <c r="K469" i="31"/>
  <c r="J468" i="31"/>
  <c r="P467" i="31"/>
  <c r="L467" i="31"/>
  <c r="L466" i="31" s="1"/>
  <c r="K466" i="31"/>
  <c r="J466" i="31"/>
  <c r="L465" i="31"/>
  <c r="L464" i="31" s="1"/>
  <c r="L463" i="31" s="1"/>
  <c r="H465" i="31"/>
  <c r="H464" i="31" s="1"/>
  <c r="H463" i="31" s="1"/>
  <c r="K464" i="31"/>
  <c r="J464" i="31"/>
  <c r="J463" i="31" s="1"/>
  <c r="I464" i="31"/>
  <c r="I463" i="31" s="1"/>
  <c r="I460" i="31" s="1"/>
  <c r="G464" i="31"/>
  <c r="K463" i="31"/>
  <c r="G463" i="31"/>
  <c r="G460" i="31" s="1"/>
  <c r="P462" i="31"/>
  <c r="L462" i="31"/>
  <c r="L461" i="31" s="1"/>
  <c r="K461" i="31"/>
  <c r="J461" i="31"/>
  <c r="I461" i="31"/>
  <c r="H461" i="31"/>
  <c r="G461" i="31"/>
  <c r="K459" i="31"/>
  <c r="M458" i="31"/>
  <c r="M455" i="31" s="1"/>
  <c r="J458" i="31"/>
  <c r="I458" i="31"/>
  <c r="H458" i="31"/>
  <c r="H455" i="31" s="1"/>
  <c r="H454" i="31" s="1"/>
  <c r="H739" i="31" s="1"/>
  <c r="G458" i="31"/>
  <c r="G455" i="31" s="1"/>
  <c r="G454" i="31" s="1"/>
  <c r="G739" i="31" s="1"/>
  <c r="K457" i="31"/>
  <c r="J456" i="31"/>
  <c r="J455" i="31" s="1"/>
  <c r="J454" i="31" s="1"/>
  <c r="J739" i="31" s="1"/>
  <c r="I456" i="31"/>
  <c r="H456" i="31"/>
  <c r="G456" i="31"/>
  <c r="I455" i="31"/>
  <c r="I454" i="31" s="1"/>
  <c r="I739" i="31" s="1"/>
  <c r="M454" i="31"/>
  <c r="M739" i="31" s="1"/>
  <c r="J453" i="31"/>
  <c r="L453" i="31" s="1"/>
  <c r="M452" i="31"/>
  <c r="M451" i="31" s="1"/>
  <c r="M737" i="31" s="1"/>
  <c r="K452" i="31"/>
  <c r="K451" i="31" s="1"/>
  <c r="K737" i="31" s="1"/>
  <c r="I452" i="31"/>
  <c r="I451" i="31" s="1"/>
  <c r="I737" i="31" s="1"/>
  <c r="H452" i="31"/>
  <c r="H451" i="31" s="1"/>
  <c r="H737" i="31" s="1"/>
  <c r="J450" i="31"/>
  <c r="L450" i="31" s="1"/>
  <c r="M449" i="31"/>
  <c r="K449" i="31"/>
  <c r="I449" i="31"/>
  <c r="H449" i="31"/>
  <c r="L448" i="31"/>
  <c r="N448" i="31" s="1"/>
  <c r="N447" i="31" s="1"/>
  <c r="M447" i="31"/>
  <c r="K447" i="31"/>
  <c r="J447" i="31"/>
  <c r="I447" i="31"/>
  <c r="H447" i="31"/>
  <c r="H438" i="31" s="1"/>
  <c r="M446" i="31"/>
  <c r="M444" i="31" s="1"/>
  <c r="K446" i="31"/>
  <c r="L446" i="31" s="1"/>
  <c r="H446" i="31"/>
  <c r="G446" i="31"/>
  <c r="G444" i="31" s="1"/>
  <c r="L445" i="31"/>
  <c r="N445" i="31" s="1"/>
  <c r="J444" i="31"/>
  <c r="J443" i="31" s="1"/>
  <c r="I444" i="31"/>
  <c r="I443" i="31" s="1"/>
  <c r="H444" i="31"/>
  <c r="M443" i="31"/>
  <c r="M438" i="31" s="1"/>
  <c r="H443" i="31"/>
  <c r="G443" i="31"/>
  <c r="G438" i="31" s="1"/>
  <c r="P442" i="31"/>
  <c r="L442" i="31"/>
  <c r="G442" i="31"/>
  <c r="M441" i="31"/>
  <c r="K441" i="31"/>
  <c r="J441" i="31"/>
  <c r="I441" i="31"/>
  <c r="H441" i="31"/>
  <c r="G441" i="31"/>
  <c r="M440" i="31"/>
  <c r="M439" i="31" s="1"/>
  <c r="K440" i="31"/>
  <c r="K439" i="31" s="1"/>
  <c r="J440" i="31"/>
  <c r="J439" i="31"/>
  <c r="I439" i="31"/>
  <c r="H439" i="31"/>
  <c r="G439" i="31"/>
  <c r="L437" i="31"/>
  <c r="N437" i="31" s="1"/>
  <c r="N436" i="31" s="1"/>
  <c r="M436" i="31"/>
  <c r="K436" i="31"/>
  <c r="K433" i="31" s="1"/>
  <c r="K432" i="31" s="1"/>
  <c r="K735" i="31" s="1"/>
  <c r="J436" i="31"/>
  <c r="J433" i="31" s="1"/>
  <c r="J432" i="31" s="1"/>
  <c r="J735" i="31" s="1"/>
  <c r="I436" i="31"/>
  <c r="I433" i="31" s="1"/>
  <c r="I432" i="31" s="1"/>
  <c r="I735" i="31" s="1"/>
  <c r="H436" i="31"/>
  <c r="G436" i="31"/>
  <c r="G433" i="31" s="1"/>
  <c r="L435" i="31"/>
  <c r="S435" i="31" s="1"/>
  <c r="K435" i="31"/>
  <c r="M434" i="31"/>
  <c r="L434" i="31"/>
  <c r="K434" i="31"/>
  <c r="J434" i="31"/>
  <c r="I434" i="31"/>
  <c r="H434" i="31"/>
  <c r="H433" i="31" s="1"/>
  <c r="H432" i="31" s="1"/>
  <c r="G434" i="31"/>
  <c r="L431" i="31"/>
  <c r="N431" i="31" s="1"/>
  <c r="N430" i="31" s="1"/>
  <c r="N429" i="31" s="1"/>
  <c r="N428" i="31" s="1"/>
  <c r="M430" i="31"/>
  <c r="K430" i="31"/>
  <c r="J430" i="31"/>
  <c r="J429" i="31" s="1"/>
  <c r="J428" i="31" s="1"/>
  <c r="J734" i="31" s="1"/>
  <c r="I430" i="31"/>
  <c r="H430" i="31"/>
  <c r="G430" i="31"/>
  <c r="M429" i="31"/>
  <c r="M428" i="31" s="1"/>
  <c r="M734" i="31" s="1"/>
  <c r="K429" i="31"/>
  <c r="I429" i="31"/>
  <c r="I428" i="31" s="1"/>
  <c r="I734" i="31" s="1"/>
  <c r="H429" i="31"/>
  <c r="H428" i="31" s="1"/>
  <c r="H734" i="31" s="1"/>
  <c r="G429" i="31"/>
  <c r="K428" i="31"/>
  <c r="K734" i="31" s="1"/>
  <c r="G428" i="31"/>
  <c r="G734" i="31" s="1"/>
  <c r="L425" i="31"/>
  <c r="N425" i="31" s="1"/>
  <c r="N424" i="31" s="1"/>
  <c r="M424" i="31"/>
  <c r="K424" i="31"/>
  <c r="K421" i="31" s="1"/>
  <c r="K420" i="31" s="1"/>
  <c r="K419" i="31" s="1"/>
  <c r="J424" i="31"/>
  <c r="I424" i="31"/>
  <c r="H424" i="31"/>
  <c r="G424" i="31"/>
  <c r="G421" i="31" s="1"/>
  <c r="L423" i="31"/>
  <c r="N423" i="31" s="1"/>
  <c r="N422" i="31" s="1"/>
  <c r="M422" i="31"/>
  <c r="K422" i="31"/>
  <c r="J422" i="31"/>
  <c r="J421" i="31" s="1"/>
  <c r="J420" i="31" s="1"/>
  <c r="J419" i="31" s="1"/>
  <c r="I422" i="31"/>
  <c r="I421" i="31" s="1"/>
  <c r="H422" i="31"/>
  <c r="H421" i="31" s="1"/>
  <c r="H748" i="31" s="1"/>
  <c r="E747" i="31" s="1"/>
  <c r="G422" i="31"/>
  <c r="M421" i="31"/>
  <c r="M420" i="31" s="1"/>
  <c r="M419" i="31" s="1"/>
  <c r="H420" i="31"/>
  <c r="H419" i="31" s="1"/>
  <c r="L418" i="31"/>
  <c r="N418" i="31" s="1"/>
  <c r="N417" i="31" s="1"/>
  <c r="M417" i="31"/>
  <c r="K417" i="31"/>
  <c r="J417" i="31"/>
  <c r="J414" i="31" s="1"/>
  <c r="I417" i="31"/>
  <c r="H417" i="31"/>
  <c r="G417" i="31"/>
  <c r="G414" i="31" s="1"/>
  <c r="M416" i="31"/>
  <c r="L416" i="31"/>
  <c r="G416" i="31"/>
  <c r="M415" i="31"/>
  <c r="M414" i="31" s="1"/>
  <c r="L415" i="31"/>
  <c r="K415" i="31"/>
  <c r="K414" i="31" s="1"/>
  <c r="J415" i="31"/>
  <c r="I415" i="31"/>
  <c r="H415" i="31"/>
  <c r="H414" i="31" s="1"/>
  <c r="G415" i="31"/>
  <c r="I414" i="31"/>
  <c r="O413" i="31"/>
  <c r="L413" i="31"/>
  <c r="K413" i="31"/>
  <c r="M412" i="31"/>
  <c r="M411" i="31" s="1"/>
  <c r="M410" i="31" s="1"/>
  <c r="M407" i="31" s="1"/>
  <c r="M785" i="31" s="1"/>
  <c r="L412" i="31"/>
  <c r="G412" i="31"/>
  <c r="G411" i="31" s="1"/>
  <c r="G410" i="31" s="1"/>
  <c r="G407" i="31" s="1"/>
  <c r="G785" i="31" s="1"/>
  <c r="K411" i="31"/>
  <c r="J411" i="31"/>
  <c r="I411" i="31"/>
  <c r="H411" i="31"/>
  <c r="H410" i="31" s="1"/>
  <c r="K410" i="31"/>
  <c r="J410" i="31"/>
  <c r="I410" i="31"/>
  <c r="I407" i="31" s="1"/>
  <c r="I785" i="31" s="1"/>
  <c r="M409" i="31"/>
  <c r="M408" i="31" s="1"/>
  <c r="L409" i="31"/>
  <c r="N409" i="31" s="1"/>
  <c r="N408" i="31" s="1"/>
  <c r="G409" i="31"/>
  <c r="L408" i="31"/>
  <c r="K408" i="31"/>
  <c r="J408" i="31"/>
  <c r="I408" i="31"/>
  <c r="H408" i="31"/>
  <c r="G408" i="31"/>
  <c r="L406" i="31"/>
  <c r="N406" i="31" s="1"/>
  <c r="N405" i="31" s="1"/>
  <c r="N404" i="31" s="1"/>
  <c r="M405" i="31"/>
  <c r="K405" i="31"/>
  <c r="K402" i="31" s="1"/>
  <c r="J405" i="31"/>
  <c r="J404" i="31" s="1"/>
  <c r="I405" i="31"/>
  <c r="I404" i="31" s="1"/>
  <c r="H405" i="31"/>
  <c r="G405" i="31"/>
  <c r="G404" i="31" s="1"/>
  <c r="M404" i="31"/>
  <c r="H404" i="31"/>
  <c r="P403" i="31"/>
  <c r="M403" i="31"/>
  <c r="M402" i="31" s="1"/>
  <c r="L403" i="31"/>
  <c r="L402" i="31"/>
  <c r="J402" i="31"/>
  <c r="I402" i="31"/>
  <c r="H402" i="31"/>
  <c r="G402" i="31"/>
  <c r="P401" i="31"/>
  <c r="L401" i="31"/>
  <c r="N401" i="31" s="1"/>
  <c r="N400" i="31" s="1"/>
  <c r="G401" i="31"/>
  <c r="M400" i="31"/>
  <c r="L400" i="31"/>
  <c r="K400" i="31"/>
  <c r="J400" i="31"/>
  <c r="I400" i="31"/>
  <c r="H400" i="31"/>
  <c r="G400" i="31"/>
  <c r="P399" i="31"/>
  <c r="L399" i="31"/>
  <c r="G399" i="31"/>
  <c r="M398" i="31"/>
  <c r="K398" i="31"/>
  <c r="J398" i="31"/>
  <c r="I398" i="31"/>
  <c r="H398" i="31"/>
  <c r="G398" i="31"/>
  <c r="P397" i="31"/>
  <c r="L397" i="31"/>
  <c r="N397" i="31" s="1"/>
  <c r="N396" i="31" s="1"/>
  <c r="G397" i="31"/>
  <c r="M396" i="31"/>
  <c r="L396" i="31"/>
  <c r="K396" i="31"/>
  <c r="J396" i="31"/>
  <c r="I396" i="31"/>
  <c r="H396" i="31"/>
  <c r="G396" i="31"/>
  <c r="P395" i="31"/>
  <c r="L395" i="31"/>
  <c r="G395" i="31"/>
  <c r="G394" i="31" s="1"/>
  <c r="M394" i="31"/>
  <c r="K394" i="31"/>
  <c r="J394" i="31"/>
  <c r="I394" i="31"/>
  <c r="H394" i="31"/>
  <c r="P393" i="31"/>
  <c r="J393" i="31"/>
  <c r="L393" i="31" s="1"/>
  <c r="L391" i="31" s="1"/>
  <c r="J392" i="31"/>
  <c r="L392" i="31" s="1"/>
  <c r="K391" i="31"/>
  <c r="P390" i="31"/>
  <c r="L390" i="31"/>
  <c r="L389" i="31" s="1"/>
  <c r="K389" i="31"/>
  <c r="J389" i="31"/>
  <c r="P388" i="31"/>
  <c r="L388" i="31"/>
  <c r="L387" i="31" s="1"/>
  <c r="K387" i="31"/>
  <c r="J387" i="31"/>
  <c r="P386" i="31"/>
  <c r="L386" i="31"/>
  <c r="N386" i="31" s="1"/>
  <c r="N385" i="31" s="1"/>
  <c r="M385" i="31"/>
  <c r="M383" i="31" s="1"/>
  <c r="K385" i="31"/>
  <c r="K383" i="31" s="1"/>
  <c r="J385" i="31"/>
  <c r="J383" i="31" s="1"/>
  <c r="I385" i="31"/>
  <c r="I383" i="31" s="1"/>
  <c r="H385" i="31"/>
  <c r="H383" i="31" s="1"/>
  <c r="G385" i="31"/>
  <c r="G383" i="31" s="1"/>
  <c r="L384" i="31"/>
  <c r="N384" i="31" s="1"/>
  <c r="N383" i="31" s="1"/>
  <c r="G384" i="31"/>
  <c r="J382" i="31"/>
  <c r="L382" i="31" s="1"/>
  <c r="G382" i="31"/>
  <c r="N381" i="31"/>
  <c r="L381" i="31"/>
  <c r="G381" i="31"/>
  <c r="G380" i="31" s="1"/>
  <c r="M380" i="31"/>
  <c r="K380" i="31"/>
  <c r="I380" i="31"/>
  <c r="H380" i="31"/>
  <c r="P379" i="31"/>
  <c r="N379" i="31"/>
  <c r="N378" i="31" s="1"/>
  <c r="L379" i="31"/>
  <c r="G379" i="31"/>
  <c r="M378" i="31"/>
  <c r="L378" i="31"/>
  <c r="K378" i="31"/>
  <c r="J378" i="31"/>
  <c r="I378" i="31"/>
  <c r="H378" i="31"/>
  <c r="G378" i="31"/>
  <c r="L377" i="31"/>
  <c r="N377" i="31" s="1"/>
  <c r="N376" i="31" s="1"/>
  <c r="M376" i="31"/>
  <c r="K376" i="31"/>
  <c r="J376" i="31"/>
  <c r="I376" i="31"/>
  <c r="H376" i="31"/>
  <c r="G376" i="31"/>
  <c r="P375" i="31"/>
  <c r="L375" i="31"/>
  <c r="N375" i="31" s="1"/>
  <c r="N373" i="31" s="1"/>
  <c r="L374" i="31"/>
  <c r="L373" i="31" s="1"/>
  <c r="M373" i="31"/>
  <c r="K373" i="31"/>
  <c r="J373" i="31"/>
  <c r="I373" i="31"/>
  <c r="H373" i="31"/>
  <c r="G373" i="31"/>
  <c r="L372" i="31"/>
  <c r="N372" i="31" s="1"/>
  <c r="L371" i="31"/>
  <c r="G371" i="31"/>
  <c r="M370" i="31"/>
  <c r="K370" i="31"/>
  <c r="J370" i="31"/>
  <c r="I370" i="31"/>
  <c r="H370" i="31"/>
  <c r="G370" i="31"/>
  <c r="N369" i="31"/>
  <c r="N368" i="31" s="1"/>
  <c r="L369" i="31"/>
  <c r="G369" i="31"/>
  <c r="G368" i="31" s="1"/>
  <c r="M368" i="31"/>
  <c r="L368" i="31"/>
  <c r="K368" i="31"/>
  <c r="J368" i="31"/>
  <c r="I368" i="31"/>
  <c r="H368" i="31"/>
  <c r="L367" i="31"/>
  <c r="N367" i="31" s="1"/>
  <c r="N366" i="31" s="1"/>
  <c r="M366" i="31"/>
  <c r="K366" i="31"/>
  <c r="J366" i="31"/>
  <c r="I366" i="31"/>
  <c r="H366" i="31"/>
  <c r="G366" i="31"/>
  <c r="L365" i="31"/>
  <c r="N365" i="31" s="1"/>
  <c r="N364" i="31" s="1"/>
  <c r="G365" i="31"/>
  <c r="G364" i="31" s="1"/>
  <c r="M364" i="31"/>
  <c r="L364" i="31"/>
  <c r="K364" i="31"/>
  <c r="J364" i="31"/>
  <c r="I364" i="31"/>
  <c r="H364" i="31"/>
  <c r="H358" i="31" s="1"/>
  <c r="H355" i="31" s="1"/>
  <c r="P363" i="31"/>
  <c r="L363" i="31"/>
  <c r="N363" i="31" s="1"/>
  <c r="L362" i="31"/>
  <c r="N362" i="31" s="1"/>
  <c r="N361" i="31" s="1"/>
  <c r="M361" i="31"/>
  <c r="K361" i="31"/>
  <c r="J361" i="31"/>
  <c r="I361" i="31"/>
  <c r="H361" i="31"/>
  <c r="G361" i="31"/>
  <c r="L360" i="31"/>
  <c r="N360" i="31" s="1"/>
  <c r="N359" i="31" s="1"/>
  <c r="M359" i="31"/>
  <c r="K359" i="31"/>
  <c r="J359" i="31"/>
  <c r="I359" i="31"/>
  <c r="H359" i="31"/>
  <c r="G359" i="31"/>
  <c r="L357" i="31"/>
  <c r="J357" i="31"/>
  <c r="M356" i="31"/>
  <c r="K356" i="31"/>
  <c r="J356" i="31"/>
  <c r="I356" i="31"/>
  <c r="H356" i="31"/>
  <c r="G356" i="31"/>
  <c r="O354" i="31"/>
  <c r="L354" i="31"/>
  <c r="K354" i="31"/>
  <c r="L353" i="31"/>
  <c r="K353" i="31"/>
  <c r="J353" i="31"/>
  <c r="M352" i="31"/>
  <c r="L352" i="31"/>
  <c r="G352" i="31"/>
  <c r="M351" i="31"/>
  <c r="K351" i="31"/>
  <c r="K350" i="31" s="1"/>
  <c r="J351" i="31"/>
  <c r="J350" i="31" s="1"/>
  <c r="J345" i="31" s="1"/>
  <c r="J782" i="31" s="1"/>
  <c r="I351" i="31"/>
  <c r="H351" i="31"/>
  <c r="G351" i="31"/>
  <c r="G350" i="31" s="1"/>
  <c r="G345" i="31" s="1"/>
  <c r="G782" i="31" s="1"/>
  <c r="M350" i="31"/>
  <c r="M345" i="31" s="1"/>
  <c r="M782" i="31" s="1"/>
  <c r="I350" i="31"/>
  <c r="I345" i="31" s="1"/>
  <c r="I782" i="31" s="1"/>
  <c r="H350" i="31"/>
  <c r="H345" i="31" s="1"/>
  <c r="H782" i="31" s="1"/>
  <c r="L349" i="31"/>
  <c r="J349" i="31"/>
  <c r="M348" i="31"/>
  <c r="K348" i="31"/>
  <c r="J348" i="31"/>
  <c r="I348" i="31"/>
  <c r="H348" i="31"/>
  <c r="G348" i="31"/>
  <c r="K347" i="31"/>
  <c r="P409" i="31" s="1"/>
  <c r="G347" i="31"/>
  <c r="M346" i="31"/>
  <c r="J346" i="31"/>
  <c r="I346" i="31"/>
  <c r="H346" i="31"/>
  <c r="G346" i="31"/>
  <c r="P344" i="31"/>
  <c r="L344" i="31"/>
  <c r="L343" i="31" s="1"/>
  <c r="K343" i="31"/>
  <c r="J343" i="31"/>
  <c r="N342" i="31"/>
  <c r="N341" i="31" s="1"/>
  <c r="L342" i="31"/>
  <c r="P342" i="31" s="1"/>
  <c r="G342" i="31"/>
  <c r="M341" i="31"/>
  <c r="L341" i="31"/>
  <c r="K341" i="31"/>
  <c r="K338" i="31" s="1"/>
  <c r="J341" i="31"/>
  <c r="I341" i="31"/>
  <c r="H341" i="31"/>
  <c r="G341" i="31"/>
  <c r="G338" i="31" s="1"/>
  <c r="L340" i="31"/>
  <c r="N340" i="31" s="1"/>
  <c r="N339" i="31" s="1"/>
  <c r="G340" i="31"/>
  <c r="M339" i="31"/>
  <c r="L339" i="31"/>
  <c r="K339" i="31"/>
  <c r="J339" i="31"/>
  <c r="I339" i="31"/>
  <c r="H339" i="31"/>
  <c r="G339" i="31"/>
  <c r="J338" i="31"/>
  <c r="J781" i="31" s="1"/>
  <c r="H338" i="31"/>
  <c r="H781" i="31" s="1"/>
  <c r="P336" i="31"/>
  <c r="L336" i="31"/>
  <c r="N336" i="31" s="1"/>
  <c r="N335" i="31" s="1"/>
  <c r="N334" i="31" s="1"/>
  <c r="N333" i="31" s="1"/>
  <c r="M335" i="31"/>
  <c r="M334" i="31" s="1"/>
  <c r="K335" i="31"/>
  <c r="K334" i="31" s="1"/>
  <c r="J335" i="31"/>
  <c r="I335" i="31"/>
  <c r="H335" i="31"/>
  <c r="H334" i="31" s="1"/>
  <c r="H333" i="31" s="1"/>
  <c r="H326" i="31" s="1"/>
  <c r="G335" i="31"/>
  <c r="G334" i="31" s="1"/>
  <c r="G333" i="31" s="1"/>
  <c r="J334" i="31"/>
  <c r="J333" i="31" s="1"/>
  <c r="I334" i="31"/>
  <c r="I333" i="31" s="1"/>
  <c r="I326" i="31" s="1"/>
  <c r="M333" i="31"/>
  <c r="K333" i="31"/>
  <c r="L332" i="31"/>
  <c r="N332" i="31" s="1"/>
  <c r="N331" i="31" s="1"/>
  <c r="J332" i="31"/>
  <c r="M331" i="31"/>
  <c r="L331" i="31"/>
  <c r="K331" i="31"/>
  <c r="J331" i="31"/>
  <c r="I331" i="31"/>
  <c r="H331" i="31"/>
  <c r="H327" i="31" s="1"/>
  <c r="G331" i="31"/>
  <c r="L330" i="31"/>
  <c r="M329" i="31"/>
  <c r="K329" i="31"/>
  <c r="K328" i="31" s="1"/>
  <c r="K327" i="31" s="1"/>
  <c r="J329" i="31"/>
  <c r="J328" i="31" s="1"/>
  <c r="J327" i="31" s="1"/>
  <c r="J326" i="31" s="1"/>
  <c r="I329" i="31"/>
  <c r="H329" i="31"/>
  <c r="G329" i="31"/>
  <c r="G328" i="31" s="1"/>
  <c r="G327" i="31" s="1"/>
  <c r="G326" i="31" s="1"/>
  <c r="M328" i="31"/>
  <c r="I328" i="31"/>
  <c r="H328" i="31"/>
  <c r="M327" i="31"/>
  <c r="I327" i="31"/>
  <c r="L324" i="31"/>
  <c r="L323" i="31" s="1"/>
  <c r="K323" i="31"/>
  <c r="J323" i="31"/>
  <c r="L322" i="31"/>
  <c r="L321" i="31" s="1"/>
  <c r="K321" i="31"/>
  <c r="J321" i="31"/>
  <c r="I321" i="31"/>
  <c r="H321" i="31"/>
  <c r="G321" i="31"/>
  <c r="K320" i="31"/>
  <c r="J320" i="31"/>
  <c r="L319" i="31"/>
  <c r="K319" i="31"/>
  <c r="L318" i="31"/>
  <c r="K318" i="31"/>
  <c r="J318" i="31"/>
  <c r="L316" i="31"/>
  <c r="L315" i="31" s="1"/>
  <c r="J316" i="31"/>
  <c r="K315" i="31"/>
  <c r="J315" i="31"/>
  <c r="P314" i="31"/>
  <c r="L314" i="31"/>
  <c r="L313" i="31" s="1"/>
  <c r="K313" i="31"/>
  <c r="J313" i="31"/>
  <c r="L312" i="31"/>
  <c r="L311" i="31" s="1"/>
  <c r="K311" i="31"/>
  <c r="K310" i="31" s="1"/>
  <c r="K309" i="31" s="1"/>
  <c r="J311" i="31"/>
  <c r="J310" i="31"/>
  <c r="J309" i="31" s="1"/>
  <c r="N307" i="31"/>
  <c r="N306" i="31" s="1"/>
  <c r="N305" i="31" s="1"/>
  <c r="N790" i="31" s="1"/>
  <c r="L307" i="31"/>
  <c r="P307" i="31" s="1"/>
  <c r="M306" i="31"/>
  <c r="M305" i="31" s="1"/>
  <c r="M790" i="31" s="1"/>
  <c r="L306" i="31"/>
  <c r="L305" i="31" s="1"/>
  <c r="K306" i="31"/>
  <c r="K305" i="31" s="1"/>
  <c r="J306" i="31"/>
  <c r="J305" i="31" s="1"/>
  <c r="I306" i="31"/>
  <c r="H306" i="31"/>
  <c r="H305" i="31" s="1"/>
  <c r="I305" i="31"/>
  <c r="I790" i="31" s="1"/>
  <c r="G305" i="31"/>
  <c r="G790" i="31" s="1"/>
  <c r="G303" i="31"/>
  <c r="P302" i="31"/>
  <c r="L302" i="31"/>
  <c r="N302" i="31" s="1"/>
  <c r="N301" i="31" s="1"/>
  <c r="N300" i="31" s="1"/>
  <c r="N789" i="31" s="1"/>
  <c r="M301" i="31"/>
  <c r="K301" i="31"/>
  <c r="J301" i="31"/>
  <c r="J300" i="31" s="1"/>
  <c r="I301" i="31"/>
  <c r="I300" i="31" s="1"/>
  <c r="I789" i="31" s="1"/>
  <c r="H301" i="31"/>
  <c r="G301" i="31"/>
  <c r="M300" i="31"/>
  <c r="M789" i="31" s="1"/>
  <c r="K300" i="31"/>
  <c r="H300" i="31"/>
  <c r="H789" i="31" s="1"/>
  <c r="G300" i="31"/>
  <c r="G789" i="31" s="1"/>
  <c r="L299" i="31"/>
  <c r="N299" i="31" s="1"/>
  <c r="N298" i="31" s="1"/>
  <c r="M298" i="31"/>
  <c r="K298" i="31"/>
  <c r="J298" i="31"/>
  <c r="I298" i="31"/>
  <c r="H298" i="31"/>
  <c r="G298" i="31"/>
  <c r="L297" i="31"/>
  <c r="N297" i="31" s="1"/>
  <c r="N296" i="31" s="1"/>
  <c r="M296" i="31"/>
  <c r="K296" i="31"/>
  <c r="J296" i="31"/>
  <c r="I296" i="31"/>
  <c r="I293" i="31" s="1"/>
  <c r="I292" i="31" s="1"/>
  <c r="H296" i="31"/>
  <c r="G296" i="31"/>
  <c r="M295" i="31"/>
  <c r="M294" i="31" s="1"/>
  <c r="L295" i="31"/>
  <c r="K294" i="31"/>
  <c r="J294" i="31"/>
  <c r="J293" i="31" s="1"/>
  <c r="J292" i="31" s="1"/>
  <c r="J286" i="31" s="1"/>
  <c r="I294" i="31"/>
  <c r="H294" i="31"/>
  <c r="G294" i="31"/>
  <c r="H293" i="31"/>
  <c r="H292" i="31" s="1"/>
  <c r="H788" i="31" s="1"/>
  <c r="M291" i="31"/>
  <c r="M290" i="31" s="1"/>
  <c r="L291" i="31"/>
  <c r="L290" i="31" s="1"/>
  <c r="K290" i="31"/>
  <c r="J290" i="31"/>
  <c r="I290" i="31"/>
  <c r="H290" i="31"/>
  <c r="G290" i="31"/>
  <c r="L289" i="31"/>
  <c r="N289" i="31" s="1"/>
  <c r="N288" i="31" s="1"/>
  <c r="M288" i="31"/>
  <c r="M287" i="31" s="1"/>
  <c r="M787" i="31" s="1"/>
  <c r="K288" i="31"/>
  <c r="J288" i="31"/>
  <c r="I288" i="31"/>
  <c r="H288" i="31"/>
  <c r="H287" i="31" s="1"/>
  <c r="G288" i="31"/>
  <c r="K287" i="31"/>
  <c r="J287" i="31"/>
  <c r="G287" i="31"/>
  <c r="G787" i="31" s="1"/>
  <c r="L285" i="31"/>
  <c r="N285" i="31" s="1"/>
  <c r="N284" i="31" s="1"/>
  <c r="M284" i="31"/>
  <c r="K284" i="31"/>
  <c r="K283" i="31" s="1"/>
  <c r="K282" i="31" s="1"/>
  <c r="J284" i="31"/>
  <c r="J283" i="31"/>
  <c r="J282" i="31" s="1"/>
  <c r="P281" i="31"/>
  <c r="L281" i="31"/>
  <c r="L280" i="31" s="1"/>
  <c r="K280" i="31"/>
  <c r="J280" i="31"/>
  <c r="L279" i="31"/>
  <c r="P278" i="31"/>
  <c r="L278" i="31"/>
  <c r="K278" i="31"/>
  <c r="J278" i="31"/>
  <c r="L277" i="31"/>
  <c r="L276" i="31" s="1"/>
  <c r="K276" i="31"/>
  <c r="J276" i="31"/>
  <c r="J275" i="31" s="1"/>
  <c r="J274" i="31" s="1"/>
  <c r="J273" i="31"/>
  <c r="L273" i="31" s="1"/>
  <c r="M272" i="31"/>
  <c r="K272" i="31"/>
  <c r="J272" i="31"/>
  <c r="I272" i="31"/>
  <c r="H272" i="31"/>
  <c r="G272" i="31"/>
  <c r="L271" i="31"/>
  <c r="G271" i="31"/>
  <c r="M270" i="31"/>
  <c r="K270" i="31"/>
  <c r="K269" i="31" s="1"/>
  <c r="K268" i="31" s="1"/>
  <c r="K267" i="31" s="1"/>
  <c r="J270" i="31"/>
  <c r="J269" i="31" s="1"/>
  <c r="J268" i="31" s="1"/>
  <c r="J267" i="31" s="1"/>
  <c r="I270" i="31"/>
  <c r="H270" i="31"/>
  <c r="G270" i="31"/>
  <c r="G269" i="31" s="1"/>
  <c r="M269" i="31"/>
  <c r="I269" i="31"/>
  <c r="I268" i="31" s="1"/>
  <c r="I267" i="31" s="1"/>
  <c r="H269" i="31"/>
  <c r="H268" i="31"/>
  <c r="H267" i="31" s="1"/>
  <c r="G268" i="31"/>
  <c r="G267" i="31" s="1"/>
  <c r="L266" i="31"/>
  <c r="L265" i="31" s="1"/>
  <c r="M265" i="31"/>
  <c r="K265" i="31"/>
  <c r="J265" i="31"/>
  <c r="I265" i="31"/>
  <c r="H265" i="31"/>
  <c r="L264" i="31"/>
  <c r="N264" i="31" s="1"/>
  <c r="N263" i="31" s="1"/>
  <c r="K264" i="31"/>
  <c r="M263" i="31"/>
  <c r="K263" i="31"/>
  <c r="J263" i="31"/>
  <c r="J262" i="31" s="1"/>
  <c r="I263" i="31"/>
  <c r="H263" i="31"/>
  <c r="H262" i="31" s="1"/>
  <c r="H256" i="31" s="1"/>
  <c r="M262" i="31"/>
  <c r="M256" i="31" s="1"/>
  <c r="I262" i="31"/>
  <c r="L261" i="31"/>
  <c r="L260" i="31" s="1"/>
  <c r="K260" i="31"/>
  <c r="J260" i="31"/>
  <c r="K259" i="31"/>
  <c r="L259" i="31" s="1"/>
  <c r="M258" i="31"/>
  <c r="K258" i="31"/>
  <c r="J258" i="31"/>
  <c r="I258" i="31"/>
  <c r="H258" i="31"/>
  <c r="J257" i="31"/>
  <c r="I256" i="31"/>
  <c r="K255" i="31"/>
  <c r="M254" i="31"/>
  <c r="M247" i="31" s="1"/>
  <c r="M242" i="31" s="1"/>
  <c r="J254" i="31"/>
  <c r="I254" i="31"/>
  <c r="H254" i="31"/>
  <c r="H247" i="31" s="1"/>
  <c r="G254" i="31"/>
  <c r="G247" i="31" s="1"/>
  <c r="G242" i="31" s="1"/>
  <c r="G751" i="31" s="1"/>
  <c r="L253" i="31"/>
  <c r="L252" i="31"/>
  <c r="K252" i="31"/>
  <c r="J252" i="31"/>
  <c r="L251" i="31"/>
  <c r="L250" i="31"/>
  <c r="K250" i="31"/>
  <c r="J250" i="31"/>
  <c r="L249" i="31"/>
  <c r="L248" i="31"/>
  <c r="K248" i="31"/>
  <c r="J248" i="31"/>
  <c r="J247" i="31" s="1"/>
  <c r="I247" i="31"/>
  <c r="K246" i="31"/>
  <c r="L246" i="31" s="1"/>
  <c r="K245" i="31"/>
  <c r="N244" i="31"/>
  <c r="M244" i="31"/>
  <c r="J244" i="31"/>
  <c r="J243" i="31" s="1"/>
  <c r="J752" i="31" s="1"/>
  <c r="I244" i="31"/>
  <c r="H244" i="31"/>
  <c r="G244" i="31"/>
  <c r="G243" i="31" s="1"/>
  <c r="G753" i="31" s="1"/>
  <c r="N243" i="31"/>
  <c r="M243" i="31"/>
  <c r="I243" i="31"/>
  <c r="H243" i="31"/>
  <c r="H753" i="31" s="1"/>
  <c r="E751" i="31" s="1"/>
  <c r="L241" i="31"/>
  <c r="J241" i="31"/>
  <c r="M240" i="31"/>
  <c r="K240" i="31"/>
  <c r="K237" i="31" s="1"/>
  <c r="J240" i="31"/>
  <c r="I240" i="31"/>
  <c r="H240" i="31"/>
  <c r="H237" i="31" s="1"/>
  <c r="H236" i="31" s="1"/>
  <c r="G240" i="31"/>
  <c r="G237" i="31" s="1"/>
  <c r="G236" i="31" s="1"/>
  <c r="N239" i="31"/>
  <c r="L239" i="31"/>
  <c r="N238" i="31"/>
  <c r="M238" i="31"/>
  <c r="M237" i="31" s="1"/>
  <c r="M236" i="31" s="1"/>
  <c r="L238" i="31"/>
  <c r="K238" i="31"/>
  <c r="J238" i="31"/>
  <c r="J237" i="31" s="1"/>
  <c r="J236" i="31" s="1"/>
  <c r="I238" i="31"/>
  <c r="I237" i="31" s="1"/>
  <c r="I236" i="31" s="1"/>
  <c r="H238" i="31"/>
  <c r="G238" i="31"/>
  <c r="K236" i="31"/>
  <c r="N235" i="31"/>
  <c r="L235" i="31"/>
  <c r="N234" i="31"/>
  <c r="M234" i="31"/>
  <c r="M232" i="31" s="1"/>
  <c r="M231" i="31" s="1"/>
  <c r="M230" i="31" s="1"/>
  <c r="M744" i="31" s="1"/>
  <c r="L234" i="31"/>
  <c r="K234" i="31"/>
  <c r="J234" i="31"/>
  <c r="J232" i="31" s="1"/>
  <c r="J231" i="31" s="1"/>
  <c r="I234" i="31"/>
  <c r="H234" i="31"/>
  <c r="G234" i="31"/>
  <c r="P233" i="31"/>
  <c r="L233" i="31"/>
  <c r="N233" i="31" s="1"/>
  <c r="N232" i="31" s="1"/>
  <c r="N231" i="31" s="1"/>
  <c r="N230" i="31" s="1"/>
  <c r="K232" i="31"/>
  <c r="I232" i="31"/>
  <c r="I231" i="31" s="1"/>
  <c r="I230" i="31" s="1"/>
  <c r="I744" i="31" s="1"/>
  <c r="H232" i="31"/>
  <c r="H231" i="31" s="1"/>
  <c r="H230" i="31" s="1"/>
  <c r="H744" i="31" s="1"/>
  <c r="G232" i="31"/>
  <c r="G231" i="31" s="1"/>
  <c r="K231" i="31"/>
  <c r="K746" i="31" s="1"/>
  <c r="K745" i="31" s="1"/>
  <c r="G230" i="31"/>
  <c r="M229" i="31"/>
  <c r="M228" i="31" s="1"/>
  <c r="M227" i="31" s="1"/>
  <c r="M226" i="31" s="1"/>
  <c r="M742" i="31" s="1"/>
  <c r="L229" i="31"/>
  <c r="G229" i="31"/>
  <c r="L228" i="31"/>
  <c r="L227" i="31" s="1"/>
  <c r="L226" i="31" s="1"/>
  <c r="L742" i="31" s="1"/>
  <c r="K228" i="31"/>
  <c r="J228" i="31"/>
  <c r="I228" i="31"/>
  <c r="I227" i="31" s="1"/>
  <c r="I226" i="31" s="1"/>
  <c r="I742" i="31" s="1"/>
  <c r="H228" i="31"/>
  <c r="H227" i="31" s="1"/>
  <c r="H226" i="31" s="1"/>
  <c r="H742" i="31" s="1"/>
  <c r="G228" i="31"/>
  <c r="K227" i="31"/>
  <c r="J227" i="31"/>
  <c r="G227" i="31"/>
  <c r="G226" i="31" s="1"/>
  <c r="G742" i="31" s="1"/>
  <c r="K226" i="31"/>
  <c r="K742" i="31" s="1"/>
  <c r="J226" i="31"/>
  <c r="J742" i="31" s="1"/>
  <c r="P225" i="31"/>
  <c r="L225" i="31"/>
  <c r="L224" i="31" s="1"/>
  <c r="L223" i="31" s="1"/>
  <c r="L222" i="31" s="1"/>
  <c r="L741" i="31" s="1"/>
  <c r="K224" i="31"/>
  <c r="K223" i="31" s="1"/>
  <c r="K222" i="31" s="1"/>
  <c r="K741" i="31" s="1"/>
  <c r="J224" i="31"/>
  <c r="J223" i="31"/>
  <c r="J222" i="31" s="1"/>
  <c r="J741" i="31" s="1"/>
  <c r="N221" i="31"/>
  <c r="L221" i="31"/>
  <c r="N220" i="31"/>
  <c r="M220" i="31"/>
  <c r="L220" i="31"/>
  <c r="K220" i="31"/>
  <c r="J220" i="31"/>
  <c r="I220" i="31"/>
  <c r="H220" i="31"/>
  <c r="G220" i="31"/>
  <c r="N219" i="31"/>
  <c r="M219" i="31"/>
  <c r="L219" i="31"/>
  <c r="K219" i="31"/>
  <c r="J219" i="31"/>
  <c r="I219" i="31"/>
  <c r="H219" i="31"/>
  <c r="G219" i="31"/>
  <c r="N218" i="31"/>
  <c r="N740" i="31" s="1"/>
  <c r="M218" i="31"/>
  <c r="M740" i="31" s="1"/>
  <c r="L218" i="31"/>
  <c r="L740" i="31" s="1"/>
  <c r="K218" i="31"/>
  <c r="K740" i="31" s="1"/>
  <c r="J218" i="31"/>
  <c r="J740" i="31" s="1"/>
  <c r="I218" i="31"/>
  <c r="I740" i="31" s="1"/>
  <c r="H218" i="31"/>
  <c r="H740" i="31" s="1"/>
  <c r="G218" i="31"/>
  <c r="G740" i="31" s="1"/>
  <c r="M217" i="31"/>
  <c r="M215" i="31" s="1"/>
  <c r="M214" i="31" s="1"/>
  <c r="K217" i="31"/>
  <c r="L217" i="31" s="1"/>
  <c r="G217" i="31"/>
  <c r="L216" i="31"/>
  <c r="N216" i="31" s="1"/>
  <c r="J215" i="31"/>
  <c r="I215" i="31"/>
  <c r="H215" i="31"/>
  <c r="G215" i="31"/>
  <c r="J214" i="31"/>
  <c r="J738" i="31" s="1"/>
  <c r="I214" i="31"/>
  <c r="I738" i="31" s="1"/>
  <c r="H214" i="31"/>
  <c r="H738" i="31" s="1"/>
  <c r="G214" i="31"/>
  <c r="N213" i="31"/>
  <c r="N212" i="31" s="1"/>
  <c r="L213" i="31"/>
  <c r="M212" i="31"/>
  <c r="L212" i="31"/>
  <c r="K212" i="31"/>
  <c r="J212" i="31"/>
  <c r="J211" i="31"/>
  <c r="M210" i="31"/>
  <c r="K210" i="31"/>
  <c r="I210" i="31"/>
  <c r="H210" i="31"/>
  <c r="M209" i="31"/>
  <c r="M208" i="31" s="1"/>
  <c r="L209" i="31"/>
  <c r="P209" i="31" s="1"/>
  <c r="K208" i="31"/>
  <c r="J208" i="31"/>
  <c r="N207" i="31"/>
  <c r="N206" i="31" s="1"/>
  <c r="L207" i="31"/>
  <c r="M206" i="31"/>
  <c r="L206" i="31"/>
  <c r="K206" i="31"/>
  <c r="J206" i="31"/>
  <c r="I206" i="31"/>
  <c r="I205" i="31" s="1"/>
  <c r="H206" i="31"/>
  <c r="G206" i="31"/>
  <c r="H205" i="31"/>
  <c r="G205" i="31"/>
  <c r="J202" i="31"/>
  <c r="L202" i="31" s="1"/>
  <c r="L201" i="31"/>
  <c r="N201" i="31" s="1"/>
  <c r="L200" i="31"/>
  <c r="N200" i="31" s="1"/>
  <c r="N199" i="31" s="1"/>
  <c r="G200" i="31"/>
  <c r="G199" i="31" s="1"/>
  <c r="M199" i="31"/>
  <c r="M198" i="31" s="1"/>
  <c r="M193" i="31" s="1"/>
  <c r="M189" i="31" s="1"/>
  <c r="M179" i="31" s="1"/>
  <c r="L199" i="31"/>
  <c r="K199" i="31"/>
  <c r="J199" i="31"/>
  <c r="I199" i="31"/>
  <c r="I198" i="31" s="1"/>
  <c r="I193" i="31" s="1"/>
  <c r="I189" i="31" s="1"/>
  <c r="I179" i="31" s="1"/>
  <c r="H199" i="31"/>
  <c r="K198" i="31"/>
  <c r="H198" i="31"/>
  <c r="H193" i="31" s="1"/>
  <c r="H189" i="31" s="1"/>
  <c r="H179" i="31" s="1"/>
  <c r="G198" i="31"/>
  <c r="G193" i="31" s="1"/>
  <c r="G189" i="31" s="1"/>
  <c r="G179" i="31" s="1"/>
  <c r="P197" i="31"/>
  <c r="L197" i="31"/>
  <c r="N197" i="31" s="1"/>
  <c r="G197" i="31"/>
  <c r="J196" i="31"/>
  <c r="L196" i="31" s="1"/>
  <c r="N196" i="31" s="1"/>
  <c r="L195" i="31"/>
  <c r="L194" i="31"/>
  <c r="K193" i="31"/>
  <c r="K189" i="31" s="1"/>
  <c r="K179" i="31" s="1"/>
  <c r="L192" i="31"/>
  <c r="P191" i="31"/>
  <c r="L191" i="31"/>
  <c r="N191" i="31" s="1"/>
  <c r="N190" i="31" s="1"/>
  <c r="G191" i="31"/>
  <c r="M190" i="31"/>
  <c r="L190" i="31"/>
  <c r="K190" i="31"/>
  <c r="J190" i="31"/>
  <c r="I190" i="31"/>
  <c r="H190" i="31"/>
  <c r="G190" i="31"/>
  <c r="L188" i="31"/>
  <c r="L187" i="31"/>
  <c r="L186" i="31"/>
  <c r="K186" i="31"/>
  <c r="J186" i="31"/>
  <c r="L185" i="31"/>
  <c r="N185" i="31" s="1"/>
  <c r="N184" i="31" s="1"/>
  <c r="M184" i="31"/>
  <c r="K184" i="31"/>
  <c r="J184" i="31"/>
  <c r="I184" i="31"/>
  <c r="H184" i="31"/>
  <c r="G184" i="31"/>
  <c r="M183" i="31"/>
  <c r="K183" i="31"/>
  <c r="J183" i="31"/>
  <c r="L183" i="31" s="1"/>
  <c r="G183" i="31"/>
  <c r="M182" i="31"/>
  <c r="K182" i="31"/>
  <c r="J182" i="31"/>
  <c r="I182" i="31"/>
  <c r="H182" i="31"/>
  <c r="G182" i="31"/>
  <c r="L181" i="31"/>
  <c r="N181" i="31" s="1"/>
  <c r="N180" i="31" s="1"/>
  <c r="M180" i="31"/>
  <c r="K180" i="31"/>
  <c r="J180" i="31"/>
  <c r="I180" i="31"/>
  <c r="H180" i="31"/>
  <c r="G180" i="31"/>
  <c r="P178" i="31"/>
  <c r="N178" i="31"/>
  <c r="L178" i="31"/>
  <c r="L177" i="31"/>
  <c r="G177" i="31"/>
  <c r="M176" i="31"/>
  <c r="K176" i="31"/>
  <c r="K175" i="31" s="1"/>
  <c r="J176" i="31"/>
  <c r="J175" i="31" s="1"/>
  <c r="I176" i="31"/>
  <c r="H176" i="31"/>
  <c r="G176" i="31"/>
  <c r="G175" i="31" s="1"/>
  <c r="M175" i="31"/>
  <c r="I175" i="31"/>
  <c r="H175" i="31"/>
  <c r="L173" i="31"/>
  <c r="K173" i="31"/>
  <c r="M172" i="31"/>
  <c r="K172" i="31"/>
  <c r="J172" i="31"/>
  <c r="I172" i="31"/>
  <c r="H172" i="31"/>
  <c r="G172" i="31"/>
  <c r="N171" i="31"/>
  <c r="N170" i="31" s="1"/>
  <c r="L171" i="31"/>
  <c r="M170" i="31"/>
  <c r="L170" i="31"/>
  <c r="K170" i="31"/>
  <c r="J170" i="31"/>
  <c r="I170" i="31"/>
  <c r="H170" i="31"/>
  <c r="H160" i="31" s="1"/>
  <c r="H767" i="31" s="1"/>
  <c r="G170" i="31"/>
  <c r="K169" i="31"/>
  <c r="G169" i="31"/>
  <c r="G168" i="31" s="1"/>
  <c r="M168" i="31"/>
  <c r="J168" i="31"/>
  <c r="J167" i="31" s="1"/>
  <c r="I168" i="31"/>
  <c r="I167" i="31" s="1"/>
  <c r="H168" i="31"/>
  <c r="M167" i="31"/>
  <c r="H167" i="31"/>
  <c r="G167" i="31"/>
  <c r="P166" i="31"/>
  <c r="L166" i="31"/>
  <c r="L165" i="31" s="1"/>
  <c r="K165" i="31"/>
  <c r="J165" i="31"/>
  <c r="L164" i="31"/>
  <c r="N164" i="31" s="1"/>
  <c r="G164" i="31"/>
  <c r="M163" i="31"/>
  <c r="M162" i="31" s="1"/>
  <c r="L163" i="31"/>
  <c r="L162" i="31" s="1"/>
  <c r="L161" i="31" s="1"/>
  <c r="K162" i="31"/>
  <c r="J162" i="31"/>
  <c r="J161" i="31" s="1"/>
  <c r="I162" i="31"/>
  <c r="I161" i="31" s="1"/>
  <c r="H162" i="31"/>
  <c r="G162" i="31"/>
  <c r="M161" i="31"/>
  <c r="M160" i="31" s="1"/>
  <c r="M767" i="31" s="1"/>
  <c r="K161" i="31"/>
  <c r="H161" i="31"/>
  <c r="G161" i="31"/>
  <c r="G160" i="31" s="1"/>
  <c r="G767" i="31" s="1"/>
  <c r="I160" i="31"/>
  <c r="I767" i="31" s="1"/>
  <c r="L159" i="31"/>
  <c r="L158" i="31"/>
  <c r="L157" i="31"/>
  <c r="N157" i="31" s="1"/>
  <c r="N155" i="31" s="1"/>
  <c r="N154" i="31" s="1"/>
  <c r="N153" i="31" s="1"/>
  <c r="N766" i="31" s="1"/>
  <c r="N156" i="31"/>
  <c r="L156" i="31"/>
  <c r="P156" i="31" s="1"/>
  <c r="M155" i="31"/>
  <c r="L155" i="31"/>
  <c r="L154" i="31" s="1"/>
  <c r="L153" i="31" s="1"/>
  <c r="K155" i="31"/>
  <c r="J155" i="31"/>
  <c r="I155" i="31"/>
  <c r="H155" i="31"/>
  <c r="H154" i="31" s="1"/>
  <c r="H153" i="31" s="1"/>
  <c r="H766" i="31" s="1"/>
  <c r="G155" i="31"/>
  <c r="M154" i="31"/>
  <c r="K154" i="31"/>
  <c r="K153" i="31" s="1"/>
  <c r="J154" i="31"/>
  <c r="I154" i="31"/>
  <c r="G154" i="31"/>
  <c r="G153" i="31" s="1"/>
  <c r="G766" i="31" s="1"/>
  <c r="M153" i="31"/>
  <c r="M766" i="31" s="1"/>
  <c r="J153" i="31"/>
  <c r="I153" i="31"/>
  <c r="I766" i="31" s="1"/>
  <c r="L152" i="31"/>
  <c r="L151" i="31" s="1"/>
  <c r="K151" i="31"/>
  <c r="J151" i="31"/>
  <c r="M150" i="31"/>
  <c r="L150" i="31"/>
  <c r="G150" i="31"/>
  <c r="G149" i="31" s="1"/>
  <c r="M149" i="31"/>
  <c r="K149" i="31"/>
  <c r="J149" i="31"/>
  <c r="I149" i="31"/>
  <c r="H149" i="31"/>
  <c r="K148" i="31"/>
  <c r="M147" i="31"/>
  <c r="J147" i="31"/>
  <c r="J146" i="31" s="1"/>
  <c r="I147" i="31"/>
  <c r="I146" i="31" s="1"/>
  <c r="H147" i="31"/>
  <c r="G147" i="31"/>
  <c r="M146" i="31"/>
  <c r="M145" i="31" s="1"/>
  <c r="H146" i="31"/>
  <c r="G146" i="31"/>
  <c r="G145" i="31" s="1"/>
  <c r="I145" i="31"/>
  <c r="L144" i="31"/>
  <c r="N144" i="31" s="1"/>
  <c r="N143" i="31" s="1"/>
  <c r="K144" i="31"/>
  <c r="M143" i="31"/>
  <c r="L143" i="31"/>
  <c r="K143" i="31"/>
  <c r="J143" i="31"/>
  <c r="I143" i="31"/>
  <c r="H143" i="31"/>
  <c r="G143" i="31"/>
  <c r="L142" i="31"/>
  <c r="M141" i="31"/>
  <c r="K141" i="31"/>
  <c r="J141" i="31"/>
  <c r="I141" i="31"/>
  <c r="H141" i="31"/>
  <c r="G141" i="31"/>
  <c r="N140" i="31"/>
  <c r="N139" i="31" s="1"/>
  <c r="L140" i="31"/>
  <c r="M139" i="31"/>
  <c r="L139" i="31"/>
  <c r="K139" i="31"/>
  <c r="J139" i="31"/>
  <c r="L138" i="31"/>
  <c r="N138" i="31" s="1"/>
  <c r="N137" i="31" s="1"/>
  <c r="M137" i="31"/>
  <c r="M136" i="31" s="1"/>
  <c r="K137" i="31"/>
  <c r="J137" i="31"/>
  <c r="I137" i="31"/>
  <c r="H137" i="31"/>
  <c r="G137" i="31"/>
  <c r="G136" i="31" s="1"/>
  <c r="K136" i="31"/>
  <c r="I136" i="31"/>
  <c r="H136" i="31"/>
  <c r="L135" i="31"/>
  <c r="L134" i="31"/>
  <c r="L133" i="31" s="1"/>
  <c r="K133" i="31"/>
  <c r="J133" i="31"/>
  <c r="L132" i="31"/>
  <c r="L131" i="31"/>
  <c r="L130" i="31" s="1"/>
  <c r="N130" i="31"/>
  <c r="M130" i="31"/>
  <c r="K130" i="31"/>
  <c r="J130" i="31"/>
  <c r="L129" i="31"/>
  <c r="N129" i="31" s="1"/>
  <c r="L128" i="31"/>
  <c r="M127" i="31"/>
  <c r="M126" i="31" s="1"/>
  <c r="M125" i="31" s="1"/>
  <c r="K127" i="31"/>
  <c r="L127" i="31" s="1"/>
  <c r="K126" i="31"/>
  <c r="J126" i="31"/>
  <c r="J125" i="31" s="1"/>
  <c r="I126" i="31"/>
  <c r="I125" i="31" s="1"/>
  <c r="H126" i="31"/>
  <c r="G126" i="31"/>
  <c r="K125" i="31"/>
  <c r="H125" i="31"/>
  <c r="G125" i="31"/>
  <c r="G111" i="31" s="1"/>
  <c r="G764" i="31" s="1"/>
  <c r="P124" i="31"/>
  <c r="L124" i="31"/>
  <c r="P123" i="31"/>
  <c r="L123" i="31"/>
  <c r="K122" i="31"/>
  <c r="S124" i="31" s="1"/>
  <c r="L121" i="31"/>
  <c r="L120" i="31"/>
  <c r="P119" i="31"/>
  <c r="L119" i="31"/>
  <c r="K118" i="31"/>
  <c r="L118" i="31" s="1"/>
  <c r="M117" i="31"/>
  <c r="L117" i="31"/>
  <c r="P117" i="31" s="1"/>
  <c r="G117" i="31"/>
  <c r="O116" i="31"/>
  <c r="M116" i="31"/>
  <c r="M115" i="31" s="1"/>
  <c r="M114" i="31" s="1"/>
  <c r="K116" i="31"/>
  <c r="L116" i="31" s="1"/>
  <c r="G116" i="31"/>
  <c r="J115" i="31"/>
  <c r="I115" i="31"/>
  <c r="H115" i="31"/>
  <c r="G115" i="31"/>
  <c r="J114" i="31"/>
  <c r="I114" i="31"/>
  <c r="H114" i="31"/>
  <c r="G114" i="31"/>
  <c r="L113" i="31"/>
  <c r="N113" i="31" s="1"/>
  <c r="N112" i="31" s="1"/>
  <c r="M112" i="31"/>
  <c r="K112" i="31"/>
  <c r="J112" i="31"/>
  <c r="I112" i="31"/>
  <c r="H112" i="31"/>
  <c r="G112" i="31"/>
  <c r="H111" i="31"/>
  <c r="H764" i="31" s="1"/>
  <c r="L110" i="31"/>
  <c r="G110" i="31"/>
  <c r="M109" i="31"/>
  <c r="M108" i="31" s="1"/>
  <c r="M107" i="31" s="1"/>
  <c r="M106" i="31" s="1"/>
  <c r="M763" i="31" s="1"/>
  <c r="L109" i="31"/>
  <c r="G109" i="31"/>
  <c r="G108" i="31" s="1"/>
  <c r="G107" i="31" s="1"/>
  <c r="G106" i="31" s="1"/>
  <c r="K108" i="31"/>
  <c r="J108" i="31"/>
  <c r="J107" i="31" s="1"/>
  <c r="J106" i="31" s="1"/>
  <c r="J763" i="31" s="1"/>
  <c r="I108" i="31"/>
  <c r="H108" i="31"/>
  <c r="K107" i="31"/>
  <c r="I107" i="31"/>
  <c r="I106" i="31" s="1"/>
  <c r="I763" i="31" s="1"/>
  <c r="H107" i="31"/>
  <c r="K106" i="31"/>
  <c r="K763" i="31" s="1"/>
  <c r="H106" i="31"/>
  <c r="H763" i="31" s="1"/>
  <c r="L104" i="31"/>
  <c r="N104" i="31" s="1"/>
  <c r="N103" i="31" s="1"/>
  <c r="N102" i="31" s="1"/>
  <c r="G104" i="31"/>
  <c r="M103" i="31"/>
  <c r="L103" i="31"/>
  <c r="K103" i="31"/>
  <c r="J103" i="31"/>
  <c r="I103" i="31"/>
  <c r="H103" i="31"/>
  <c r="G103" i="31"/>
  <c r="M102" i="31"/>
  <c r="L102" i="31"/>
  <c r="L99" i="31" s="1"/>
  <c r="L98" i="31" s="1"/>
  <c r="K102" i="31"/>
  <c r="K99" i="31" s="1"/>
  <c r="K98" i="31" s="1"/>
  <c r="J102" i="31"/>
  <c r="I102" i="31"/>
  <c r="H102" i="31"/>
  <c r="H99" i="31" s="1"/>
  <c r="H98" i="31" s="1"/>
  <c r="G102" i="31"/>
  <c r="G99" i="31" s="1"/>
  <c r="G98" i="31" s="1"/>
  <c r="N101" i="31"/>
  <c r="N100" i="31" s="1"/>
  <c r="J101" i="31"/>
  <c r="L101" i="31" s="1"/>
  <c r="G101" i="31"/>
  <c r="G100" i="31" s="1"/>
  <c r="M100" i="31"/>
  <c r="M99" i="31" s="1"/>
  <c r="M98" i="31" s="1"/>
  <c r="L100" i="31"/>
  <c r="K100" i="31"/>
  <c r="J100" i="31"/>
  <c r="I100" i="31"/>
  <c r="I99" i="31" s="1"/>
  <c r="I98" i="31" s="1"/>
  <c r="H100" i="31"/>
  <c r="K96" i="31"/>
  <c r="L96" i="31" s="1"/>
  <c r="L95" i="31" s="1"/>
  <c r="J95" i="31"/>
  <c r="L94" i="31"/>
  <c r="L93" i="31" s="1"/>
  <c r="K93" i="31"/>
  <c r="J93" i="31"/>
  <c r="L92" i="31"/>
  <c r="L91" i="31" s="1"/>
  <c r="K91" i="31"/>
  <c r="J91" i="31"/>
  <c r="L90" i="31"/>
  <c r="L89" i="31" s="1"/>
  <c r="K89" i="31"/>
  <c r="J89" i="31"/>
  <c r="L88" i="31"/>
  <c r="M87" i="31"/>
  <c r="K87" i="31"/>
  <c r="J87" i="31"/>
  <c r="L86" i="31"/>
  <c r="M85" i="31"/>
  <c r="K85" i="31"/>
  <c r="J85" i="31"/>
  <c r="J84" i="31" s="1"/>
  <c r="I85" i="31"/>
  <c r="I84" i="31" s="1"/>
  <c r="I83" i="31" s="1"/>
  <c r="I779" i="31" s="1"/>
  <c r="H85" i="31"/>
  <c r="G85" i="31"/>
  <c r="M84" i="31"/>
  <c r="M83" i="31" s="1"/>
  <c r="M779" i="31" s="1"/>
  <c r="K84" i="31"/>
  <c r="H84" i="31"/>
  <c r="H83" i="31" s="1"/>
  <c r="H779" i="31" s="1"/>
  <c r="G84" i="31"/>
  <c r="G83" i="31" s="1"/>
  <c r="G779" i="31" s="1"/>
  <c r="L82" i="31"/>
  <c r="L81" i="31"/>
  <c r="K81" i="31"/>
  <c r="J81" i="31"/>
  <c r="L80" i="31"/>
  <c r="L79" i="31"/>
  <c r="K79" i="31"/>
  <c r="J79" i="31"/>
  <c r="L78" i="31"/>
  <c r="L77" i="31"/>
  <c r="K77" i="31"/>
  <c r="J77" i="31"/>
  <c r="L76" i="31"/>
  <c r="L75" i="31"/>
  <c r="K75" i="31"/>
  <c r="J75" i="31"/>
  <c r="L74" i="31"/>
  <c r="L73" i="31"/>
  <c r="K73" i="31"/>
  <c r="J73" i="31"/>
  <c r="S72" i="31"/>
  <c r="P72" i="31"/>
  <c r="L72" i="31"/>
  <c r="L71" i="31"/>
  <c r="K71" i="31"/>
  <c r="J71" i="31"/>
  <c r="L70" i="31"/>
  <c r="L69" i="31"/>
  <c r="K69" i="31"/>
  <c r="J69" i="31"/>
  <c r="L68" i="31"/>
  <c r="L67" i="31"/>
  <c r="K67" i="31"/>
  <c r="J67" i="31"/>
  <c r="J66" i="31" s="1"/>
  <c r="J65" i="31" s="1"/>
  <c r="J778" i="31" s="1"/>
  <c r="I67" i="31"/>
  <c r="I66" i="31" s="1"/>
  <c r="H67" i="31"/>
  <c r="G67" i="31"/>
  <c r="L66" i="31"/>
  <c r="L65" i="31" s="1"/>
  <c r="L778" i="31" s="1"/>
  <c r="K66" i="31"/>
  <c r="K65" i="31" s="1"/>
  <c r="K778" i="31" s="1"/>
  <c r="H66" i="31"/>
  <c r="G66" i="31"/>
  <c r="G65" i="31" s="1"/>
  <c r="I65" i="31"/>
  <c r="H65" i="31"/>
  <c r="P64" i="31"/>
  <c r="L64" i="31"/>
  <c r="M63" i="31"/>
  <c r="M60" i="31" s="1"/>
  <c r="M776" i="31" s="1"/>
  <c r="K63" i="31"/>
  <c r="J63" i="31"/>
  <c r="I63" i="31"/>
  <c r="I60" i="31" s="1"/>
  <c r="I776" i="31" s="1"/>
  <c r="H63" i="31"/>
  <c r="G63" i="31"/>
  <c r="L62" i="31"/>
  <c r="P62" i="31" s="1"/>
  <c r="M61" i="31"/>
  <c r="K61" i="31"/>
  <c r="J61" i="31"/>
  <c r="I61" i="31"/>
  <c r="H61" i="31"/>
  <c r="G61" i="31"/>
  <c r="J60" i="31"/>
  <c r="J776" i="31" s="1"/>
  <c r="P59" i="31"/>
  <c r="O59" i="31"/>
  <c r="R64" i="31" s="1"/>
  <c r="N59" i="31"/>
  <c r="N58" i="31" s="1"/>
  <c r="N57" i="31" s="1"/>
  <c r="L59" i="31"/>
  <c r="G59" i="31"/>
  <c r="G58" i="31" s="1"/>
  <c r="G57" i="31" s="1"/>
  <c r="M58" i="31"/>
  <c r="M57" i="31" s="1"/>
  <c r="L58" i="31"/>
  <c r="K58" i="31"/>
  <c r="K57" i="31" s="1"/>
  <c r="J58" i="31"/>
  <c r="I58" i="31"/>
  <c r="I57" i="31" s="1"/>
  <c r="H58" i="31"/>
  <c r="H57" i="31" s="1"/>
  <c r="L57" i="31"/>
  <c r="J57" i="31"/>
  <c r="L56" i="31"/>
  <c r="M55" i="31"/>
  <c r="K55" i="31"/>
  <c r="J55" i="31"/>
  <c r="L54" i="31"/>
  <c r="L53" i="31" s="1"/>
  <c r="K53" i="31"/>
  <c r="J53" i="31"/>
  <c r="L52" i="31"/>
  <c r="L51" i="31" s="1"/>
  <c r="K51" i="31"/>
  <c r="J51" i="31"/>
  <c r="J48" i="31" s="1"/>
  <c r="J40" i="31" s="1"/>
  <c r="J775" i="31" s="1"/>
  <c r="P50" i="31"/>
  <c r="M50" i="31"/>
  <c r="M49" i="31" s="1"/>
  <c r="M48" i="31" s="1"/>
  <c r="L50" i="31"/>
  <c r="L49" i="31"/>
  <c r="L48" i="31" s="1"/>
  <c r="K49" i="31"/>
  <c r="J49" i="31"/>
  <c r="I49" i="31"/>
  <c r="H49" i="31"/>
  <c r="G49" i="31"/>
  <c r="I48" i="31"/>
  <c r="H48" i="31"/>
  <c r="G48" i="31"/>
  <c r="L47" i="31"/>
  <c r="L46" i="31" s="1"/>
  <c r="K46" i="31"/>
  <c r="J46" i="31"/>
  <c r="J42" i="31" s="1"/>
  <c r="J41" i="31" s="1"/>
  <c r="L45" i="31"/>
  <c r="L44" i="31" s="1"/>
  <c r="K44" i="31"/>
  <c r="K42" i="31" s="1"/>
  <c r="K41" i="31" s="1"/>
  <c r="J44" i="31"/>
  <c r="P43" i="31"/>
  <c r="M43" i="31"/>
  <c r="M42" i="31" s="1"/>
  <c r="M41" i="31" s="1"/>
  <c r="L43" i="31"/>
  <c r="I42" i="31"/>
  <c r="H42" i="31"/>
  <c r="H41" i="31" s="1"/>
  <c r="G42" i="31"/>
  <c r="I41" i="31"/>
  <c r="G41" i="31"/>
  <c r="N39" i="31"/>
  <c r="N38" i="31" s="1"/>
  <c r="L39" i="31"/>
  <c r="M38" i="31"/>
  <c r="L38" i="31"/>
  <c r="K38" i="31"/>
  <c r="J38" i="31"/>
  <c r="L37" i="31"/>
  <c r="L36" i="31"/>
  <c r="K36" i="31"/>
  <c r="J36" i="31"/>
  <c r="L35" i="31"/>
  <c r="L34" i="31" s="1"/>
  <c r="S34" i="31"/>
  <c r="K34" i="31"/>
  <c r="J34" i="31"/>
  <c r="J28" i="31" s="1"/>
  <c r="L33" i="31"/>
  <c r="M32" i="31"/>
  <c r="K32" i="31"/>
  <c r="K31" i="31" s="1"/>
  <c r="J32" i="31"/>
  <c r="J31" i="31" s="1"/>
  <c r="I32" i="31"/>
  <c r="H32" i="31"/>
  <c r="G32" i="31"/>
  <c r="G31" i="31" s="1"/>
  <c r="M31" i="31"/>
  <c r="I31" i="31"/>
  <c r="H31" i="31"/>
  <c r="L30" i="31"/>
  <c r="P30" i="31" s="1"/>
  <c r="M29" i="31"/>
  <c r="M28" i="31" s="1"/>
  <c r="M27" i="31" s="1"/>
  <c r="M21" i="31" s="1"/>
  <c r="M774" i="31" s="1"/>
  <c r="L29" i="31"/>
  <c r="G29" i="31"/>
  <c r="K28" i="31"/>
  <c r="K27" i="31" s="1"/>
  <c r="K21" i="31" s="1"/>
  <c r="K774" i="31" s="1"/>
  <c r="I28" i="31"/>
  <c r="I27" i="31" s="1"/>
  <c r="H28" i="31"/>
  <c r="G28" i="31"/>
  <c r="J27" i="31"/>
  <c r="H27" i="31"/>
  <c r="G27" i="31"/>
  <c r="L26" i="31"/>
  <c r="L25" i="31" s="1"/>
  <c r="K25" i="31"/>
  <c r="J25" i="31"/>
  <c r="J24" i="31"/>
  <c r="L24" i="31" s="1"/>
  <c r="N24" i="31" s="1"/>
  <c r="N23" i="31" s="1"/>
  <c r="N22" i="31" s="1"/>
  <c r="M23" i="31"/>
  <c r="M22" i="31" s="1"/>
  <c r="K23" i="31"/>
  <c r="I23" i="31"/>
  <c r="H23" i="31"/>
  <c r="G23" i="31"/>
  <c r="G22" i="31" s="1"/>
  <c r="K22" i="31"/>
  <c r="I22" i="31"/>
  <c r="H22" i="31"/>
  <c r="I21" i="31"/>
  <c r="L19" i="31"/>
  <c r="N19" i="31" s="1"/>
  <c r="N18" i="31" s="1"/>
  <c r="M18" i="31"/>
  <c r="K18" i="31"/>
  <c r="J18" i="31"/>
  <c r="I18" i="31"/>
  <c r="H18" i="31"/>
  <c r="G18" i="31"/>
  <c r="L17" i="31"/>
  <c r="N17" i="31" s="1"/>
  <c r="N16" i="31" s="1"/>
  <c r="N15" i="31" s="1"/>
  <c r="M16" i="31"/>
  <c r="M15" i="31" s="1"/>
  <c r="M14" i="31" s="1"/>
  <c r="K16" i="31"/>
  <c r="K15" i="31" s="1"/>
  <c r="J16" i="31"/>
  <c r="I16" i="31"/>
  <c r="H16" i="31"/>
  <c r="H15" i="31" s="1"/>
  <c r="H14" i="31" s="1"/>
  <c r="G16" i="31"/>
  <c r="G15" i="31" s="1"/>
  <c r="J15" i="31"/>
  <c r="I15" i="31"/>
  <c r="K14" i="31"/>
  <c r="J14" i="31"/>
  <c r="G14" i="31"/>
  <c r="J13" i="31"/>
  <c r="O4" i="31"/>
  <c r="K264" i="13"/>
  <c r="K562" i="13"/>
  <c r="K26" i="29"/>
  <c r="E14" i="30"/>
  <c r="F15" i="30"/>
  <c r="F13" i="30" s="1"/>
  <c r="F12" i="30" s="1"/>
  <c r="D16" i="30"/>
  <c r="D15" i="30" s="1"/>
  <c r="D13" i="30" s="1"/>
  <c r="D12" i="30" s="1"/>
  <c r="F16" i="30"/>
  <c r="E17" i="30"/>
  <c r="E18" i="30"/>
  <c r="E19" i="30"/>
  <c r="E20" i="30"/>
  <c r="E23" i="30"/>
  <c r="D24" i="30"/>
  <c r="D22" i="30" s="1"/>
  <c r="D21" i="30" s="1"/>
  <c r="F24" i="30"/>
  <c r="D25" i="30"/>
  <c r="F25" i="30"/>
  <c r="E25" i="30" s="1"/>
  <c r="D26" i="30"/>
  <c r="E26" i="30"/>
  <c r="F26" i="30"/>
  <c r="D30" i="30"/>
  <c r="D29" i="30" s="1"/>
  <c r="D27" i="30" s="1"/>
  <c r="F30" i="30"/>
  <c r="F29" i="30" s="1"/>
  <c r="F27" i="30" s="1"/>
  <c r="E31" i="30"/>
  <c r="E32" i="30"/>
  <c r="E33" i="30"/>
  <c r="E34" i="30"/>
  <c r="E35" i="30"/>
  <c r="E36" i="30"/>
  <c r="D38" i="30"/>
  <c r="D37" i="30" s="1"/>
  <c r="F38" i="30"/>
  <c r="F37" i="30" s="1"/>
  <c r="E39" i="30"/>
  <c r="E38" i="30" s="1"/>
  <c r="E37" i="30" s="1"/>
  <c r="E40" i="30"/>
  <c r="E41" i="30"/>
  <c r="E42" i="30"/>
  <c r="D44" i="30"/>
  <c r="D45" i="30"/>
  <c r="F45" i="30"/>
  <c r="E45" i="30" s="1"/>
  <c r="E44" i="30" s="1"/>
  <c r="E46" i="30"/>
  <c r="E48" i="30"/>
  <c r="D49" i="30"/>
  <c r="D47" i="30" s="1"/>
  <c r="F49" i="30"/>
  <c r="E50" i="30"/>
  <c r="E51" i="30"/>
  <c r="E52" i="30"/>
  <c r="E53" i="30"/>
  <c r="E54" i="30"/>
  <c r="E55" i="30"/>
  <c r="E56" i="30"/>
  <c r="E57" i="30"/>
  <c r="E58" i="30"/>
  <c r="E59" i="30"/>
  <c r="E62" i="30"/>
  <c r="E63" i="30"/>
  <c r="D65" i="30"/>
  <c r="D64" i="30" s="1"/>
  <c r="D61" i="30" s="1"/>
  <c r="E65" i="30"/>
  <c r="F65" i="30"/>
  <c r="F64" i="30" s="1"/>
  <c r="F61" i="30" s="1"/>
  <c r="E66" i="30"/>
  <c r="D68" i="30"/>
  <c r="F68" i="30"/>
  <c r="E69" i="30"/>
  <c r="E68" i="30" s="1"/>
  <c r="E70" i="30"/>
  <c r="E71" i="30"/>
  <c r="E72" i="30"/>
  <c r="E73" i="30"/>
  <c r="E74" i="30"/>
  <c r="E75" i="30"/>
  <c r="E76" i="30"/>
  <c r="E77" i="30"/>
  <c r="E78" i="30"/>
  <c r="D79" i="30"/>
  <c r="F79" i="30"/>
  <c r="E80" i="30"/>
  <c r="E79" i="30" s="1"/>
  <c r="E81" i="30"/>
  <c r="E82" i="30"/>
  <c r="D89" i="30"/>
  <c r="D88" i="30" s="1"/>
  <c r="D83" i="30" s="1"/>
  <c r="F89" i="30"/>
  <c r="F88" i="30" s="1"/>
  <c r="F83" i="30" s="1"/>
  <c r="E91" i="30"/>
  <c r="E92" i="30"/>
  <c r="D93" i="30"/>
  <c r="F93" i="30"/>
  <c r="D94" i="30"/>
  <c r="F94" i="30"/>
  <c r="E94" i="30" s="1"/>
  <c r="E93" i="30" s="1"/>
  <c r="E95" i="30"/>
  <c r="E96" i="30"/>
  <c r="E97" i="30"/>
  <c r="E98" i="30"/>
  <c r="E99" i="30"/>
  <c r="E100" i="30"/>
  <c r="E101" i="30"/>
  <c r="E102" i="30"/>
  <c r="E103" i="30"/>
  <c r="D105" i="30"/>
  <c r="D104" i="30" s="1"/>
  <c r="F105" i="30"/>
  <c r="F104" i="30" s="1"/>
  <c r="E106" i="30"/>
  <c r="E107" i="30"/>
  <c r="D111" i="30"/>
  <c r="D108" i="30" s="1"/>
  <c r="F111" i="30"/>
  <c r="F108" i="30" s="1"/>
  <c r="E112" i="30"/>
  <c r="E111" i="30" s="1"/>
  <c r="E108" i="30" s="1"/>
  <c r="D114" i="30"/>
  <c r="F114" i="30"/>
  <c r="E115" i="30"/>
  <c r="E116" i="30"/>
  <c r="E117" i="30"/>
  <c r="E118" i="30"/>
  <c r="E119" i="30"/>
  <c r="D120" i="30"/>
  <c r="F120" i="30"/>
  <c r="E121" i="30"/>
  <c r="E122" i="30"/>
  <c r="E123" i="30"/>
  <c r="E124" i="30"/>
  <c r="E125" i="30"/>
  <c r="D126" i="30"/>
  <c r="F126" i="30"/>
  <c r="E126" i="30" s="1"/>
  <c r="D127" i="30"/>
  <c r="F127" i="30"/>
  <c r="E128" i="30"/>
  <c r="E129" i="30"/>
  <c r="E130" i="30"/>
  <c r="E131" i="30"/>
  <c r="E132" i="30"/>
  <c r="D138" i="30"/>
  <c r="D137" i="30" s="1"/>
  <c r="D133" i="30" s="1"/>
  <c r="F138" i="30"/>
  <c r="F137" i="30" s="1"/>
  <c r="F133" i="30" s="1"/>
  <c r="E139" i="30"/>
  <c r="E140" i="30"/>
  <c r="E141" i="30"/>
  <c r="E142" i="30"/>
  <c r="F146" i="30"/>
  <c r="D147" i="30"/>
  <c r="D146" i="30" s="1"/>
  <c r="D145" i="30" s="1"/>
  <c r="F147" i="30"/>
  <c r="E148" i="30"/>
  <c r="D149" i="30"/>
  <c r="F149" i="30"/>
  <c r="E149" i="30" s="1"/>
  <c r="E151" i="30"/>
  <c r="E152" i="30"/>
  <c r="D153" i="30"/>
  <c r="E153" i="30"/>
  <c r="F153" i="30"/>
  <c r="E154" i="30"/>
  <c r="E155" i="30"/>
  <c r="E156" i="30"/>
  <c r="E157" i="30"/>
  <c r="F158" i="30"/>
  <c r="E159" i="30"/>
  <c r="E160" i="30"/>
  <c r="E161" i="30"/>
  <c r="E162" i="30"/>
  <c r="E163" i="30"/>
  <c r="E164" i="30"/>
  <c r="D165" i="30"/>
  <c r="E165" i="30" s="1"/>
  <c r="E166" i="30"/>
  <c r="E167" i="30"/>
  <c r="E168" i="30"/>
  <c r="E169" i="30"/>
  <c r="E170" i="30"/>
  <c r="E171" i="30"/>
  <c r="E172" i="30"/>
  <c r="E173" i="30"/>
  <c r="D175" i="30"/>
  <c r="F175" i="30"/>
  <c r="D176" i="30"/>
  <c r="F176" i="30"/>
  <c r="E176" i="30" s="1"/>
  <c r="F177" i="30"/>
  <c r="E177" i="30" s="1"/>
  <c r="E178" i="30"/>
  <c r="E179" i="30"/>
  <c r="E180" i="30"/>
  <c r="E181" i="30"/>
  <c r="E182" i="30"/>
  <c r="E183" i="30"/>
  <c r="E184" i="30"/>
  <c r="D185" i="30"/>
  <c r="F185" i="30"/>
  <c r="E186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D206" i="30"/>
  <c r="D187" i="30" s="1"/>
  <c r="F206" i="30"/>
  <c r="F187" i="30" s="1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D220" i="30"/>
  <c r="F221" i="30"/>
  <c r="F220" i="30" s="1"/>
  <c r="E222" i="30"/>
  <c r="E223" i="30"/>
  <c r="E224" i="30"/>
  <c r="E225" i="30"/>
  <c r="H226" i="30"/>
  <c r="E228" i="30"/>
  <c r="E229" i="30"/>
  <c r="G229" i="30"/>
  <c r="L229" i="30"/>
  <c r="E230" i="30"/>
  <c r="K413" i="13"/>
  <c r="K354" i="13"/>
  <c r="K116" i="13"/>
  <c r="K173" i="13"/>
  <c r="F28" i="29"/>
  <c r="G28" i="29"/>
  <c r="H28" i="29"/>
  <c r="E28" i="29" s="1"/>
  <c r="J29" i="29"/>
  <c r="J26" i="29"/>
  <c r="J28" i="29"/>
  <c r="I28" i="29"/>
  <c r="K28" i="29"/>
  <c r="O20" i="29"/>
  <c r="O28" i="29"/>
  <c r="O14" i="29"/>
  <c r="E14" i="29" s="1"/>
  <c r="E13" i="29" s="1"/>
  <c r="L28" i="29"/>
  <c r="N29" i="29"/>
  <c r="N28" i="29"/>
  <c r="M28" i="29"/>
  <c r="M27" i="29"/>
  <c r="M23" i="29" s="1"/>
  <c r="M29" i="29"/>
  <c r="Q20" i="26"/>
  <c r="K690" i="13"/>
  <c r="K715" i="13"/>
  <c r="L688" i="13"/>
  <c r="L687" i="13" s="1"/>
  <c r="K687" i="13"/>
  <c r="J687" i="13"/>
  <c r="K537" i="13"/>
  <c r="K602" i="13"/>
  <c r="K601" i="13" s="1"/>
  <c r="L603" i="13"/>
  <c r="L602" i="13" s="1"/>
  <c r="L601" i="13" s="1"/>
  <c r="J602" i="13"/>
  <c r="J601" i="13" s="1"/>
  <c r="K446" i="13"/>
  <c r="K459" i="13"/>
  <c r="K457" i="13"/>
  <c r="K490" i="13"/>
  <c r="K595" i="13"/>
  <c r="K469" i="13"/>
  <c r="L552" i="13"/>
  <c r="L551" i="13" s="1"/>
  <c r="K551" i="13"/>
  <c r="J551" i="13"/>
  <c r="K540" i="13"/>
  <c r="L660" i="13"/>
  <c r="L659" i="13" s="1"/>
  <c r="K659" i="13"/>
  <c r="J659" i="13"/>
  <c r="K655" i="13"/>
  <c r="J655" i="13"/>
  <c r="L656" i="13"/>
  <c r="L655" i="13" s="1"/>
  <c r="K518" i="13"/>
  <c r="J518" i="13"/>
  <c r="L519" i="13"/>
  <c r="L518" i="13" s="1"/>
  <c r="L549" i="13"/>
  <c r="L548" i="13" s="1"/>
  <c r="K548" i="13"/>
  <c r="M548" i="13"/>
  <c r="N548" i="13"/>
  <c r="J548" i="13"/>
  <c r="K347" i="13"/>
  <c r="K259" i="13"/>
  <c r="K319" i="13"/>
  <c r="K255" i="13"/>
  <c r="K217" i="13"/>
  <c r="K252" i="13"/>
  <c r="J252" i="13"/>
  <c r="L253" i="13"/>
  <c r="L252" i="13" s="1"/>
  <c r="K246" i="13"/>
  <c r="K245" i="13"/>
  <c r="K148" i="13"/>
  <c r="K122" i="13"/>
  <c r="K127" i="13"/>
  <c r="K144" i="13"/>
  <c r="K705" i="13"/>
  <c r="K698" i="13"/>
  <c r="K672" i="13"/>
  <c r="K591" i="13"/>
  <c r="K435" i="13"/>
  <c r="K169" i="13"/>
  <c r="L152" i="13"/>
  <c r="K151" i="13"/>
  <c r="L151" i="13"/>
  <c r="J151" i="13"/>
  <c r="L135" i="13"/>
  <c r="L134" i="13"/>
  <c r="K133" i="13"/>
  <c r="J133" i="13"/>
  <c r="K118" i="13"/>
  <c r="K186" i="13"/>
  <c r="J186" i="13"/>
  <c r="L187" i="13"/>
  <c r="G11" i="15"/>
  <c r="H11" i="15"/>
  <c r="I11" i="15"/>
  <c r="J11" i="15"/>
  <c r="F11" i="15"/>
  <c r="E11" i="15"/>
  <c r="D11" i="15"/>
  <c r="C11" i="15" s="1"/>
  <c r="P26" i="26"/>
  <c r="N27" i="15"/>
  <c r="F13" i="29"/>
  <c r="J13" i="29"/>
  <c r="K13" i="29"/>
  <c r="N13" i="29"/>
  <c r="E20" i="29"/>
  <c r="M26" i="29"/>
  <c r="N26" i="29"/>
  <c r="E18" i="29"/>
  <c r="E30" i="29"/>
  <c r="H27" i="29"/>
  <c r="E27" i="29"/>
  <c r="N25" i="29"/>
  <c r="N23" i="29" s="1"/>
  <c r="G25" i="29"/>
  <c r="G23" i="29" s="1"/>
  <c r="E25" i="29"/>
  <c r="E24" i="29"/>
  <c r="O23" i="29"/>
  <c r="O21" i="29" s="1"/>
  <c r="L23" i="29"/>
  <c r="I23" i="29"/>
  <c r="H23" i="29"/>
  <c r="H21" i="29" s="1"/>
  <c r="F23" i="29"/>
  <c r="N22" i="29"/>
  <c r="M22" i="29"/>
  <c r="L22" i="29"/>
  <c r="K22" i="29"/>
  <c r="J22" i="29"/>
  <c r="I22" i="29"/>
  <c r="H22" i="29"/>
  <c r="G22" i="29"/>
  <c r="F22" i="29"/>
  <c r="L21" i="29"/>
  <c r="E19" i="29"/>
  <c r="N17" i="29"/>
  <c r="M17" i="29"/>
  <c r="M13" i="29" s="1"/>
  <c r="L17" i="29"/>
  <c r="L13" i="29" s="1"/>
  <c r="J17" i="29"/>
  <c r="I17" i="29"/>
  <c r="I13" i="29" s="1"/>
  <c r="H17" i="29"/>
  <c r="H13" i="29" s="1"/>
  <c r="G17" i="29"/>
  <c r="E17" i="29" s="1"/>
  <c r="F17" i="29"/>
  <c r="E16" i="29"/>
  <c r="E15" i="29"/>
  <c r="G12" i="29"/>
  <c r="H12" i="29" s="1"/>
  <c r="I12" i="29" s="1"/>
  <c r="J12" i="29" s="1"/>
  <c r="K12" i="29" s="1"/>
  <c r="L12" i="29" s="1"/>
  <c r="M12" i="29" s="1"/>
  <c r="N12" i="29" s="1"/>
  <c r="K520" i="13"/>
  <c r="L521" i="13"/>
  <c r="L520" i="13" s="1"/>
  <c r="J520" i="13"/>
  <c r="G763" i="31" l="1"/>
  <c r="G105" i="31"/>
  <c r="F47" i="30"/>
  <c r="E49" i="30"/>
  <c r="M13" i="31"/>
  <c r="N177" i="31"/>
  <c r="N176" i="31" s="1"/>
  <c r="N175" i="31" s="1"/>
  <c r="L176" i="31"/>
  <c r="L175" i="31" s="1"/>
  <c r="T413" i="31"/>
  <c r="L411" i="31"/>
  <c r="L410" i="31" s="1"/>
  <c r="I14" i="31"/>
  <c r="H40" i="31"/>
  <c r="H775" i="31" s="1"/>
  <c r="N271" i="31"/>
  <c r="N270" i="31" s="1"/>
  <c r="N269" i="31" s="1"/>
  <c r="L270" i="31"/>
  <c r="L269" i="31" s="1"/>
  <c r="K799" i="31"/>
  <c r="K798" i="31" s="1"/>
  <c r="K304" i="31"/>
  <c r="K326" i="31"/>
  <c r="G748" i="31"/>
  <c r="G420" i="31"/>
  <c r="G419" i="31" s="1"/>
  <c r="N173" i="31"/>
  <c r="N172" i="31" s="1"/>
  <c r="L172" i="31"/>
  <c r="N241" i="31"/>
  <c r="N240" i="31" s="1"/>
  <c r="N237" i="31" s="1"/>
  <c r="N236" i="31" s="1"/>
  <c r="L240" i="31"/>
  <c r="L237" i="31" s="1"/>
  <c r="L236" i="31" s="1"/>
  <c r="G13" i="29"/>
  <c r="E29" i="29"/>
  <c r="J23" i="29"/>
  <c r="F22" i="30"/>
  <c r="F21" i="30" s="1"/>
  <c r="E24" i="30"/>
  <c r="E22" i="30" s="1"/>
  <c r="E21" i="30" s="1"/>
  <c r="G21" i="31"/>
  <c r="G40" i="31"/>
  <c r="I111" i="31"/>
  <c r="G738" i="31"/>
  <c r="G204" i="31"/>
  <c r="N371" i="31"/>
  <c r="L370" i="31"/>
  <c r="G736" i="31"/>
  <c r="H13" i="31"/>
  <c r="L245" i="31"/>
  <c r="L244" i="31" s="1"/>
  <c r="L243" i="31" s="1"/>
  <c r="L752" i="31" s="1"/>
  <c r="K244" i="31"/>
  <c r="K243" i="31" s="1"/>
  <c r="E26" i="29"/>
  <c r="E23" i="29" s="1"/>
  <c r="K23" i="29"/>
  <c r="J765" i="31"/>
  <c r="P29" i="31"/>
  <c r="L28" i="31"/>
  <c r="L27" i="31" s="1"/>
  <c r="N110" i="31"/>
  <c r="L108" i="31"/>
  <c r="L107" i="31" s="1"/>
  <c r="L106" i="31" s="1"/>
  <c r="L211" i="31"/>
  <c r="J210" i="31"/>
  <c r="J205" i="31" s="1"/>
  <c r="N330" i="31"/>
  <c r="N329" i="31" s="1"/>
  <c r="N328" i="31" s="1"/>
  <c r="L329" i="31"/>
  <c r="L328" i="31" s="1"/>
  <c r="L327" i="31" s="1"/>
  <c r="N352" i="31"/>
  <c r="N351" i="31" s="1"/>
  <c r="N350" i="31" s="1"/>
  <c r="L351" i="31"/>
  <c r="L350" i="31" s="1"/>
  <c r="H337" i="31"/>
  <c r="H325" i="31" s="1"/>
  <c r="H735" i="31"/>
  <c r="E733" i="31" s="1"/>
  <c r="H427" i="31"/>
  <c r="I769" i="31"/>
  <c r="I694" i="31"/>
  <c r="E22" i="29"/>
  <c r="F145" i="30"/>
  <c r="E64" i="30"/>
  <c r="K13" i="31"/>
  <c r="H21" i="31"/>
  <c r="J83" i="31"/>
  <c r="J779" i="31" s="1"/>
  <c r="N88" i="31"/>
  <c r="N87" i="31" s="1"/>
  <c r="L87" i="31"/>
  <c r="N142" i="31"/>
  <c r="N141" i="31" s="1"/>
  <c r="L141" i="31"/>
  <c r="K766" i="31"/>
  <c r="G744" i="31"/>
  <c r="I753" i="31"/>
  <c r="I242" i="31"/>
  <c r="I751" i="31" s="1"/>
  <c r="L255" i="31"/>
  <c r="L254" i="31" s="1"/>
  <c r="L247" i="31" s="1"/>
  <c r="K254" i="31"/>
  <c r="K247" i="31" s="1"/>
  <c r="K275" i="31"/>
  <c r="K274" i="31" s="1"/>
  <c r="M326" i="31"/>
  <c r="N399" i="31"/>
  <c r="N398" i="31" s="1"/>
  <c r="L398" i="31"/>
  <c r="J407" i="31"/>
  <c r="J785" i="31" s="1"/>
  <c r="J460" i="31"/>
  <c r="I749" i="31"/>
  <c r="I476" i="31"/>
  <c r="L537" i="31"/>
  <c r="K536" i="31"/>
  <c r="K574" i="31"/>
  <c r="G770" i="31"/>
  <c r="G604" i="31"/>
  <c r="G768" i="31" s="1"/>
  <c r="N614" i="31"/>
  <c r="N613" i="31" s="1"/>
  <c r="N612" i="31" s="1"/>
  <c r="N611" i="31" s="1"/>
  <c r="N770" i="31" s="1"/>
  <c r="L613" i="31"/>
  <c r="L612" i="31" s="1"/>
  <c r="L611" i="31" s="1"/>
  <c r="L770" i="31" s="1"/>
  <c r="K795" i="31"/>
  <c r="K793" i="31" s="1"/>
  <c r="K668" i="31"/>
  <c r="D158" i="30"/>
  <c r="D150" i="30" s="1"/>
  <c r="F113" i="30"/>
  <c r="E114" i="30"/>
  <c r="G765" i="31"/>
  <c r="G13" i="31"/>
  <c r="G762" i="31" s="1"/>
  <c r="M111" i="31"/>
  <c r="L148" i="31"/>
  <c r="K147" i="31"/>
  <c r="K146" i="31" s="1"/>
  <c r="K145" i="31" s="1"/>
  <c r="K765" i="31" s="1"/>
  <c r="J145" i="31"/>
  <c r="N150" i="31"/>
  <c r="N149" i="31" s="1"/>
  <c r="L149" i="31"/>
  <c r="J198" i="31"/>
  <c r="J193" i="31" s="1"/>
  <c r="J189" i="31" s="1"/>
  <c r="J179" i="31" s="1"/>
  <c r="J784" i="31" s="1"/>
  <c r="M205" i="31"/>
  <c r="K230" i="31"/>
  <c r="N744" i="31"/>
  <c r="K262" i="31"/>
  <c r="N266" i="31"/>
  <c r="N265" i="31" s="1"/>
  <c r="H787" i="31"/>
  <c r="H283" i="31"/>
  <c r="H282" i="31" s="1"/>
  <c r="N295" i="31"/>
  <c r="N294" i="31" s="1"/>
  <c r="N293" i="31" s="1"/>
  <c r="N292" i="31" s="1"/>
  <c r="N788" i="31" s="1"/>
  <c r="L294" i="31"/>
  <c r="N395" i="31"/>
  <c r="N394" i="31" s="1"/>
  <c r="L394" i="31"/>
  <c r="K407" i="31"/>
  <c r="K785" i="31" s="1"/>
  <c r="N450" i="31"/>
  <c r="N449" i="31" s="1"/>
  <c r="L449" i="31"/>
  <c r="K456" i="31"/>
  <c r="L457" i="31"/>
  <c r="L456" i="31" s="1"/>
  <c r="M749" i="31"/>
  <c r="M476" i="31"/>
  <c r="K497" i="31"/>
  <c r="H509" i="31"/>
  <c r="H757" i="31" s="1"/>
  <c r="G769" i="31"/>
  <c r="G694" i="31"/>
  <c r="N535" i="31"/>
  <c r="N534" i="31" s="1"/>
  <c r="N533" i="31" s="1"/>
  <c r="L534" i="31"/>
  <c r="L533" i="31" s="1"/>
  <c r="O13" i="29"/>
  <c r="E185" i="30"/>
  <c r="E147" i="30"/>
  <c r="E146" i="30" s="1"/>
  <c r="E145" i="30" s="1"/>
  <c r="E47" i="30"/>
  <c r="E43" i="30" s="1"/>
  <c r="F44" i="30"/>
  <c r="E16" i="30"/>
  <c r="E15" i="30" s="1"/>
  <c r="N43" i="31"/>
  <c r="N42" i="31" s="1"/>
  <c r="N41" i="31" s="1"/>
  <c r="L42" i="31"/>
  <c r="L41" i="31" s="1"/>
  <c r="I40" i="31"/>
  <c r="H60" i="31"/>
  <c r="H776" i="31" s="1"/>
  <c r="L61" i="31"/>
  <c r="N62" i="31"/>
  <c r="N61" i="31" s="1"/>
  <c r="J99" i="31"/>
  <c r="J98" i="31" s="1"/>
  <c r="L112" i="31"/>
  <c r="N136" i="31"/>
  <c r="K160" i="31"/>
  <c r="K767" i="31" s="1"/>
  <c r="L169" i="31"/>
  <c r="N169" i="31" s="1"/>
  <c r="N168" i="31" s="1"/>
  <c r="N167" i="31" s="1"/>
  <c r="K168" i="31"/>
  <c r="K167" i="31" s="1"/>
  <c r="K257" i="31"/>
  <c r="L263" i="31"/>
  <c r="L262" i="31" s="1"/>
  <c r="N273" i="31"/>
  <c r="N272" i="31" s="1"/>
  <c r="L272" i="31"/>
  <c r="I287" i="31"/>
  <c r="I787" i="31" s="1"/>
  <c r="K317" i="31"/>
  <c r="K804" i="31" s="1"/>
  <c r="L338" i="31"/>
  <c r="L781" i="31" s="1"/>
  <c r="H407" i="31"/>
  <c r="H785" i="31" s="1"/>
  <c r="I748" i="31"/>
  <c r="I420" i="31"/>
  <c r="I419" i="31" s="1"/>
  <c r="J449" i="31"/>
  <c r="J438" i="31" s="1"/>
  <c r="F150" i="30"/>
  <c r="D113" i="30"/>
  <c r="E120" i="30"/>
  <c r="N50" i="31"/>
  <c r="N49" i="31" s="1"/>
  <c r="N48" i="31" s="1"/>
  <c r="K48" i="31"/>
  <c r="G60" i="31"/>
  <c r="G776" i="31" s="1"/>
  <c r="K60" i="31"/>
  <c r="K776" i="31" s="1"/>
  <c r="N109" i="31"/>
  <c r="J136" i="31"/>
  <c r="H145" i="31"/>
  <c r="H765" i="31" s="1"/>
  <c r="I204" i="31"/>
  <c r="K205" i="31"/>
  <c r="H242" i="31"/>
  <c r="L275" i="31"/>
  <c r="L274" i="31" s="1"/>
  <c r="G293" i="31"/>
  <c r="G292" i="31" s="1"/>
  <c r="G788" i="31" s="1"/>
  <c r="K293" i="31"/>
  <c r="K292" i="31" s="1"/>
  <c r="K286" i="31" s="1"/>
  <c r="L320" i="31"/>
  <c r="I338" i="31"/>
  <c r="M338" i="31"/>
  <c r="M781" i="31" s="1"/>
  <c r="P354" i="31"/>
  <c r="G358" i="31"/>
  <c r="G355" i="31" s="1"/>
  <c r="K358" i="31"/>
  <c r="K355" i="31" s="1"/>
  <c r="N412" i="31"/>
  <c r="N411" i="31" s="1"/>
  <c r="N410" i="31" s="1"/>
  <c r="N407" i="31" s="1"/>
  <c r="N785" i="31" s="1"/>
  <c r="I438" i="31"/>
  <c r="I736" i="31" s="1"/>
  <c r="K458" i="31"/>
  <c r="L459" i="31"/>
  <c r="N459" i="31" s="1"/>
  <c r="N458" i="31" s="1"/>
  <c r="N455" i="31" s="1"/>
  <c r="N454" i="31" s="1"/>
  <c r="N739" i="31" s="1"/>
  <c r="L469" i="31"/>
  <c r="K468" i="31"/>
  <c r="K460" i="31" s="1"/>
  <c r="K743" i="31" s="1"/>
  <c r="H476" i="31"/>
  <c r="K749" i="31"/>
  <c r="K476" i="31"/>
  <c r="P506" i="31"/>
  <c r="N506" i="31"/>
  <c r="N505" i="31" s="1"/>
  <c r="N504" i="31" s="1"/>
  <c r="L505" i="31"/>
  <c r="L504" i="31" s="1"/>
  <c r="N526" i="31"/>
  <c r="N554" i="31"/>
  <c r="N553" i="31" s="1"/>
  <c r="N550" i="31" s="1"/>
  <c r="L553" i="31"/>
  <c r="L550" i="31" s="1"/>
  <c r="M673" i="31"/>
  <c r="N719" i="31"/>
  <c r="N718" i="31" s="1"/>
  <c r="N717" i="31" s="1"/>
  <c r="N716" i="31" s="1"/>
  <c r="L718" i="31"/>
  <c r="L717" i="31" s="1"/>
  <c r="L716" i="31" s="1"/>
  <c r="N229" i="31"/>
  <c r="N228" i="31" s="1"/>
  <c r="N227" i="31" s="1"/>
  <c r="N226" i="31" s="1"/>
  <c r="N742" i="31" s="1"/>
  <c r="J242" i="31"/>
  <c r="J256" i="31"/>
  <c r="M268" i="31"/>
  <c r="M267" i="31" s="1"/>
  <c r="J317" i="31"/>
  <c r="J804" i="31" s="1"/>
  <c r="N327" i="31"/>
  <c r="N326" i="31" s="1"/>
  <c r="N338" i="31"/>
  <c r="N349" i="31"/>
  <c r="N348" i="31" s="1"/>
  <c r="L348" i="31"/>
  <c r="N357" i="31"/>
  <c r="N356" i="31" s="1"/>
  <c r="L356" i="31"/>
  <c r="M358" i="31"/>
  <c r="M355" i="31" s="1"/>
  <c r="N416" i="31"/>
  <c r="N415" i="31" s="1"/>
  <c r="N414" i="31" s="1"/>
  <c r="N442" i="31"/>
  <c r="N441" i="31" s="1"/>
  <c r="L441" i="31"/>
  <c r="I484" i="31"/>
  <c r="N517" i="31"/>
  <c r="N516" i="31" s="1"/>
  <c r="N510" i="31" s="1"/>
  <c r="L516" i="31"/>
  <c r="I768" i="31"/>
  <c r="K635" i="31"/>
  <c r="I673" i="31"/>
  <c r="I358" i="31"/>
  <c r="I355" i="31" s="1"/>
  <c r="I337" i="31" s="1"/>
  <c r="I325" i="31" s="1"/>
  <c r="N403" i="31"/>
  <c r="N402" i="31" s="1"/>
  <c r="M433" i="31"/>
  <c r="M432" i="31" s="1"/>
  <c r="M735" i="31" s="1"/>
  <c r="L440" i="31"/>
  <c r="L439" i="31" s="1"/>
  <c r="K444" i="31"/>
  <c r="K443" i="31" s="1"/>
  <c r="K438" i="31" s="1"/>
  <c r="N475" i="31"/>
  <c r="N474" i="31" s="1"/>
  <c r="N473" i="31" s="1"/>
  <c r="N470" i="31" s="1"/>
  <c r="H497" i="31"/>
  <c r="H484" i="31" s="1"/>
  <c r="K510" i="31"/>
  <c r="K758" i="31" s="1"/>
  <c r="N652" i="31"/>
  <c r="N651" i="31" s="1"/>
  <c r="L651" i="31"/>
  <c r="L795" i="31"/>
  <c r="L793" i="31" s="1"/>
  <c r="L668" i="31"/>
  <c r="J695" i="31"/>
  <c r="J694" i="31" s="1"/>
  <c r="H769" i="31"/>
  <c r="H694" i="31"/>
  <c r="H673" i="31" s="1"/>
  <c r="H460" i="31"/>
  <c r="J510" i="31"/>
  <c r="M543" i="31"/>
  <c r="M522" i="31" s="1"/>
  <c r="N597" i="31"/>
  <c r="N596" i="31" s="1"/>
  <c r="L596" i="31"/>
  <c r="L608" i="31"/>
  <c r="N608" i="31" s="1"/>
  <c r="N606" i="31" s="1"/>
  <c r="N605" i="31" s="1"/>
  <c r="K606" i="31"/>
  <c r="K605" i="31" s="1"/>
  <c r="K604" i="31" s="1"/>
  <c r="G673" i="31"/>
  <c r="J538" i="31"/>
  <c r="L545" i="31"/>
  <c r="L544" i="31" s="1"/>
  <c r="L558" i="31"/>
  <c r="L557" i="31" s="1"/>
  <c r="L760" i="31" s="1"/>
  <c r="K777" i="31"/>
  <c r="N678" i="31"/>
  <c r="N677" i="31" s="1"/>
  <c r="N676" i="31" s="1"/>
  <c r="N675" i="31" s="1"/>
  <c r="N674" i="31" s="1"/>
  <c r="K689" i="31"/>
  <c r="K684" i="31" s="1"/>
  <c r="K683" i="31" s="1"/>
  <c r="K543" i="31"/>
  <c r="I543" i="31"/>
  <c r="I522" i="31" s="1"/>
  <c r="K550" i="31"/>
  <c r="K522" i="31" s="1"/>
  <c r="J574" i="31"/>
  <c r="N578" i="31"/>
  <c r="H582" i="31"/>
  <c r="L595" i="31"/>
  <c r="I592" i="31"/>
  <c r="M592" i="31"/>
  <c r="M765" i="31" s="1"/>
  <c r="M604" i="31"/>
  <c r="M768" i="31" s="1"/>
  <c r="H777" i="31"/>
  <c r="N641" i="31"/>
  <c r="J646" i="31"/>
  <c r="L646" i="31" s="1"/>
  <c r="N646" i="31" s="1"/>
  <c r="L662" i="31"/>
  <c r="L661" i="31" s="1"/>
  <c r="M703" i="31"/>
  <c r="M695" i="31" s="1"/>
  <c r="M694" i="31" s="1"/>
  <c r="M574" i="31"/>
  <c r="M764" i="31" s="1"/>
  <c r="K592" i="31"/>
  <c r="K569" i="31" s="1"/>
  <c r="J623" i="31"/>
  <c r="I777" i="31"/>
  <c r="M777" i="31"/>
  <c r="J684" i="31"/>
  <c r="J683" i="31" s="1"/>
  <c r="J673" i="31" s="1"/>
  <c r="J160" i="31"/>
  <c r="J767" i="31" s="1"/>
  <c r="J111" i="31"/>
  <c r="J764" i="31" s="1"/>
  <c r="H774" i="31"/>
  <c r="E773" i="31" s="1"/>
  <c r="N99" i="31"/>
  <c r="N98" i="31" s="1"/>
  <c r="G775" i="31"/>
  <c r="G20" i="31"/>
  <c r="I775" i="31"/>
  <c r="I20" i="31"/>
  <c r="N14" i="31"/>
  <c r="S30" i="31"/>
  <c r="N30" i="31"/>
  <c r="N33" i="31"/>
  <c r="N32" i="31" s="1"/>
  <c r="N31" i="31" s="1"/>
  <c r="L32" i="31"/>
  <c r="L31" i="31" s="1"/>
  <c r="L21" i="31" s="1"/>
  <c r="N86" i="31"/>
  <c r="N85" i="31" s="1"/>
  <c r="N84" i="31" s="1"/>
  <c r="N83" i="31" s="1"/>
  <c r="N779" i="31" s="1"/>
  <c r="L85" i="31"/>
  <c r="L84" i="31" s="1"/>
  <c r="L83" i="31" s="1"/>
  <c r="L779" i="31" s="1"/>
  <c r="P116" i="31"/>
  <c r="N116" i="31"/>
  <c r="N127" i="31"/>
  <c r="N126" i="31" s="1"/>
  <c r="N125" i="31" s="1"/>
  <c r="L126" i="31"/>
  <c r="L125" i="31" s="1"/>
  <c r="P127" i="31"/>
  <c r="I784" i="31"/>
  <c r="I174" i="31"/>
  <c r="M784" i="31"/>
  <c r="M174" i="31"/>
  <c r="H784" i="31"/>
  <c r="H174" i="31"/>
  <c r="H780" i="31" s="1"/>
  <c r="M738" i="31"/>
  <c r="M204" i="31"/>
  <c r="J746" i="31"/>
  <c r="J745" i="31" s="1"/>
  <c r="J230" i="31"/>
  <c r="N255" i="31"/>
  <c r="N254" i="31" s="1"/>
  <c r="N247" i="31" s="1"/>
  <c r="N242" i="31" s="1"/>
  <c r="J802" i="31"/>
  <c r="K802" i="31"/>
  <c r="K308" i="31"/>
  <c r="N781" i="31"/>
  <c r="N440" i="31"/>
  <c r="N439" i="31" s="1"/>
  <c r="L452" i="31"/>
  <c r="L451" i="31" s="1"/>
  <c r="L737" i="31" s="1"/>
  <c r="N453" i="31"/>
  <c r="N452" i="31" s="1"/>
  <c r="N451" i="31" s="1"/>
  <c r="N737" i="31" s="1"/>
  <c r="J743" i="31"/>
  <c r="J427" i="31"/>
  <c r="L16" i="31"/>
  <c r="L15" i="31" s="1"/>
  <c r="L18" i="31"/>
  <c r="J23" i="31"/>
  <c r="J22" i="31" s="1"/>
  <c r="J21" i="31" s="1"/>
  <c r="L23" i="31"/>
  <c r="L22" i="31" s="1"/>
  <c r="M40" i="31"/>
  <c r="K95" i="31"/>
  <c r="K83" i="31" s="1"/>
  <c r="K779" i="31" s="1"/>
  <c r="N262" i="31"/>
  <c r="N256" i="31" s="1"/>
  <c r="N268" i="31"/>
  <c r="N267" i="31" s="1"/>
  <c r="M293" i="31"/>
  <c r="M292" i="31" s="1"/>
  <c r="N370" i="31"/>
  <c r="N421" i="31"/>
  <c r="N56" i="31"/>
  <c r="N55" i="31" s="1"/>
  <c r="N40" i="31" s="1"/>
  <c r="N775" i="31" s="1"/>
  <c r="L55" i="31"/>
  <c r="N64" i="31"/>
  <c r="N63" i="31" s="1"/>
  <c r="L63" i="31"/>
  <c r="L60" i="31" s="1"/>
  <c r="L776" i="31" s="1"/>
  <c r="M105" i="31"/>
  <c r="M97" i="31" s="1"/>
  <c r="L147" i="31"/>
  <c r="L146" i="31" s="1"/>
  <c r="L145" i="31" s="1"/>
  <c r="N148" i="31"/>
  <c r="N147" i="31" s="1"/>
  <c r="N146" i="31" s="1"/>
  <c r="N145" i="31" s="1"/>
  <c r="N183" i="31"/>
  <c r="N182" i="31" s="1"/>
  <c r="L182" i="31"/>
  <c r="G784" i="31"/>
  <c r="G174" i="31"/>
  <c r="K784" i="31"/>
  <c r="K174" i="31"/>
  <c r="N202" i="31"/>
  <c r="L198" i="31"/>
  <c r="L193" i="31" s="1"/>
  <c r="L189" i="31" s="1"/>
  <c r="N217" i="31"/>
  <c r="N215" i="31" s="1"/>
  <c r="N214" i="31" s="1"/>
  <c r="P217" i="31"/>
  <c r="L215" i="31"/>
  <c r="L214" i="31" s="1"/>
  <c r="L258" i="31"/>
  <c r="L257" i="31" s="1"/>
  <c r="N259" i="31"/>
  <c r="N258" i="31" s="1"/>
  <c r="I788" i="31"/>
  <c r="I286" i="31"/>
  <c r="I786" i="31" s="1"/>
  <c r="H790" i="31"/>
  <c r="H303" i="31"/>
  <c r="J799" i="31"/>
  <c r="J798" i="31" s="1"/>
  <c r="J304" i="31"/>
  <c r="J303" i="31"/>
  <c r="L799" i="31"/>
  <c r="L798" i="31" s="1"/>
  <c r="L304" i="31"/>
  <c r="L303" i="31"/>
  <c r="G781" i="31"/>
  <c r="G337" i="31"/>
  <c r="G325" i="31" s="1"/>
  <c r="I781" i="31"/>
  <c r="K781" i="31"/>
  <c r="M337" i="31"/>
  <c r="M325" i="31" s="1"/>
  <c r="L380" i="31"/>
  <c r="N382" i="31"/>
  <c r="N380" i="31" s="1"/>
  <c r="N734" i="31"/>
  <c r="G735" i="31"/>
  <c r="G432" i="31"/>
  <c r="N446" i="31"/>
  <c r="N444" i="31" s="1"/>
  <c r="N443" i="31" s="1"/>
  <c r="P446" i="31"/>
  <c r="N29" i="31"/>
  <c r="N28" i="31" s="1"/>
  <c r="N27" i="31" s="1"/>
  <c r="N21" i="31" s="1"/>
  <c r="K40" i="31"/>
  <c r="S64" i="31"/>
  <c r="N198" i="31"/>
  <c r="N193" i="31" s="1"/>
  <c r="N189" i="31" s="1"/>
  <c r="N179" i="31" s="1"/>
  <c r="M736" i="31"/>
  <c r="M753" i="31"/>
  <c r="M752" i="31"/>
  <c r="J750" i="31"/>
  <c r="J476" i="31"/>
  <c r="K753" i="31"/>
  <c r="K484" i="31"/>
  <c r="G759" i="31"/>
  <c r="G509" i="31"/>
  <c r="G757" i="31" s="1"/>
  <c r="N540" i="31"/>
  <c r="N539" i="31" s="1"/>
  <c r="N538" i="31" s="1"/>
  <c r="L539" i="31"/>
  <c r="L538" i="31" s="1"/>
  <c r="N547" i="31"/>
  <c r="N546" i="31" s="1"/>
  <c r="L546" i="31"/>
  <c r="N565" i="31"/>
  <c r="N564" i="31" s="1"/>
  <c r="N563" i="31" s="1"/>
  <c r="N761" i="31" s="1"/>
  <c r="L564" i="31"/>
  <c r="L563" i="31" s="1"/>
  <c r="L761" i="31" s="1"/>
  <c r="N591" i="31"/>
  <c r="N590" i="31" s="1"/>
  <c r="L590" i="31"/>
  <c r="L589" i="31" s="1"/>
  <c r="N645" i="31"/>
  <c r="N644" i="31" s="1"/>
  <c r="L644" i="31"/>
  <c r="L689" i="31"/>
  <c r="L684" i="31" s="1"/>
  <c r="L683" i="31" s="1"/>
  <c r="P690" i="31"/>
  <c r="N117" i="31"/>
  <c r="N163" i="31"/>
  <c r="N162" i="31" s="1"/>
  <c r="N161" i="31" s="1"/>
  <c r="P164" i="31"/>
  <c r="P169" i="31"/>
  <c r="N209" i="31"/>
  <c r="N208" i="31" s="1"/>
  <c r="P271" i="31"/>
  <c r="N291" i="31"/>
  <c r="N290" i="31" s="1"/>
  <c r="N287" i="31" s="1"/>
  <c r="L310" i="31"/>
  <c r="L309" i="31" s="1"/>
  <c r="P413" i="31"/>
  <c r="K748" i="31"/>
  <c r="M748" i="31"/>
  <c r="P431" i="31"/>
  <c r="P435" i="31"/>
  <c r="P437" i="31"/>
  <c r="H736" i="31"/>
  <c r="J736" i="31"/>
  <c r="G747" i="31"/>
  <c r="M747" i="31"/>
  <c r="G756" i="31"/>
  <c r="K756" i="31"/>
  <c r="N640" i="31"/>
  <c r="N639" i="31" s="1"/>
  <c r="N752" i="31"/>
  <c r="N480" i="31"/>
  <c r="N479" i="31" s="1"/>
  <c r="N478" i="31" s="1"/>
  <c r="N477" i="31" s="1"/>
  <c r="L479" i="31"/>
  <c r="L478" i="31" s="1"/>
  <c r="L477" i="31" s="1"/>
  <c r="N499" i="31"/>
  <c r="N498" i="31" s="1"/>
  <c r="L498" i="31"/>
  <c r="J758" i="31"/>
  <c r="N595" i="31"/>
  <c r="N594" i="31" s="1"/>
  <c r="N593" i="31" s="1"/>
  <c r="N592" i="31" s="1"/>
  <c r="L594" i="31"/>
  <c r="L593" i="31" s="1"/>
  <c r="L592" i="31" s="1"/>
  <c r="P595" i="31"/>
  <c r="R535" i="31"/>
  <c r="H105" i="31"/>
  <c r="K115" i="31"/>
  <c r="K114" i="31" s="1"/>
  <c r="K111" i="31" s="1"/>
  <c r="L122" i="31"/>
  <c r="L137" i="31"/>
  <c r="L136" i="31" s="1"/>
  <c r="L168" i="31"/>
  <c r="L167" i="31" s="1"/>
  <c r="L160" i="31" s="1"/>
  <c r="L767" i="31" s="1"/>
  <c r="L180" i="31"/>
  <c r="L184" i="31"/>
  <c r="H204" i="31"/>
  <c r="J204" i="31"/>
  <c r="L208" i="31"/>
  <c r="K215" i="31"/>
  <c r="K214" i="31" s="1"/>
  <c r="L232" i="31"/>
  <c r="L231" i="31" s="1"/>
  <c r="G283" i="31"/>
  <c r="G282" i="31" s="1"/>
  <c r="I283" i="31"/>
  <c r="I282" i="31" s="1"/>
  <c r="L284" i="31"/>
  <c r="L283" i="31" s="1"/>
  <c r="L282" i="31" s="1"/>
  <c r="H286" i="31"/>
  <c r="H786" i="31" s="1"/>
  <c r="E786" i="31"/>
  <c r="L288" i="31"/>
  <c r="L287" i="31" s="1"/>
  <c r="L296" i="31"/>
  <c r="L298" i="31"/>
  <c r="L301" i="31"/>
  <c r="L300" i="31" s="1"/>
  <c r="I303" i="31"/>
  <c r="K303" i="31"/>
  <c r="L335" i="31"/>
  <c r="L334" i="31" s="1"/>
  <c r="L333" i="31" s="1"/>
  <c r="L326" i="31" s="1"/>
  <c r="K346" i="31"/>
  <c r="K345" i="31" s="1"/>
  <c r="L347" i="31"/>
  <c r="L359" i="31"/>
  <c r="L361" i="31"/>
  <c r="L366" i="31"/>
  <c r="L376" i="31"/>
  <c r="J380" i="31"/>
  <c r="J358" i="31" s="1"/>
  <c r="J355" i="31" s="1"/>
  <c r="J337" i="31" s="1"/>
  <c r="J325" i="31" s="1"/>
  <c r="L385" i="31"/>
  <c r="L383" i="31" s="1"/>
  <c r="J391" i="31"/>
  <c r="L405" i="31"/>
  <c r="L404" i="31" s="1"/>
  <c r="L417" i="31"/>
  <c r="L414" i="31" s="1"/>
  <c r="L407" i="31" s="1"/>
  <c r="L785" i="31" s="1"/>
  <c r="J748" i="31"/>
  <c r="J747" i="31" s="1"/>
  <c r="L422" i="31"/>
  <c r="L421" i="31" s="1"/>
  <c r="L424" i="31"/>
  <c r="G427" i="31"/>
  <c r="I427" i="31"/>
  <c r="I733" i="31" s="1"/>
  <c r="M427" i="31"/>
  <c r="L430" i="31"/>
  <c r="L429" i="31" s="1"/>
  <c r="L428" i="31" s="1"/>
  <c r="N435" i="31"/>
  <c r="N434" i="31" s="1"/>
  <c r="N433" i="31" s="1"/>
  <c r="N432" i="31" s="1"/>
  <c r="N735" i="31" s="1"/>
  <c r="L436" i="31"/>
  <c r="L433" i="31" s="1"/>
  <c r="L432" i="31" s="1"/>
  <c r="L735" i="31" s="1"/>
  <c r="L444" i="31"/>
  <c r="L443" i="31" s="1"/>
  <c r="L447" i="31"/>
  <c r="J452" i="31"/>
  <c r="J451" i="31" s="1"/>
  <c r="J737" i="31" s="1"/>
  <c r="M484" i="31"/>
  <c r="N490" i="31"/>
  <c r="N489" i="31" s="1"/>
  <c r="N488" i="31" s="1"/>
  <c r="I756" i="31"/>
  <c r="M756" i="31"/>
  <c r="H756" i="31"/>
  <c r="K760" i="31"/>
  <c r="J569" i="31"/>
  <c r="N574" i="31"/>
  <c r="N569" i="31" s="1"/>
  <c r="I569" i="31"/>
  <c r="L698" i="31"/>
  <c r="K697" i="31"/>
  <c r="K696" i="31" s="1"/>
  <c r="H747" i="31"/>
  <c r="J498" i="31"/>
  <c r="J497" i="31" s="1"/>
  <c r="L500" i="31"/>
  <c r="L497" i="31" s="1"/>
  <c r="N501" i="31"/>
  <c r="N500" i="31" s="1"/>
  <c r="H758" i="31"/>
  <c r="E757" i="31" s="1"/>
  <c r="L511" i="31"/>
  <c r="L523" i="31"/>
  <c r="L526" i="31"/>
  <c r="N537" i="31"/>
  <c r="N536" i="31" s="1"/>
  <c r="J546" i="31"/>
  <c r="J543" i="31" s="1"/>
  <c r="J522" i="31" s="1"/>
  <c r="J759" i="31" s="1"/>
  <c r="J564" i="31"/>
  <c r="J563" i="31" s="1"/>
  <c r="J761" i="31" s="1"/>
  <c r="L572" i="31"/>
  <c r="L571" i="31" s="1"/>
  <c r="L570" i="31" s="1"/>
  <c r="L583" i="31"/>
  <c r="L582" i="31" s="1"/>
  <c r="L574" i="31" s="1"/>
  <c r="H604" i="31"/>
  <c r="H768" i="31" s="1"/>
  <c r="J604" i="31"/>
  <c r="L606" i="31"/>
  <c r="L605" i="31" s="1"/>
  <c r="L604" i="31" s="1"/>
  <c r="L621" i="31"/>
  <c r="L620" i="31" s="1"/>
  <c r="L619" i="31" s="1"/>
  <c r="H623" i="31"/>
  <c r="N623" i="31"/>
  <c r="H783" i="31"/>
  <c r="E780" i="31" s="1"/>
  <c r="J641" i="31"/>
  <c r="L641" i="31"/>
  <c r="L640" i="31" s="1"/>
  <c r="J644" i="31"/>
  <c r="L649" i="31"/>
  <c r="L648" i="31" s="1"/>
  <c r="J661" i="31"/>
  <c r="L664" i="31"/>
  <c r="L677" i="31"/>
  <c r="L676" i="31" s="1"/>
  <c r="L675" i="31" s="1"/>
  <c r="L674" i="31" s="1"/>
  <c r="P678" i="31"/>
  <c r="J769" i="31"/>
  <c r="J771" i="31"/>
  <c r="L771" i="31"/>
  <c r="H772" i="31"/>
  <c r="J772" i="31"/>
  <c r="L772" i="31"/>
  <c r="N772" i="31"/>
  <c r="K792" i="31"/>
  <c r="K791" i="31" s="1"/>
  <c r="P705" i="31"/>
  <c r="N705" i="31"/>
  <c r="N704" i="31" s="1"/>
  <c r="N703" i="31" s="1"/>
  <c r="L704" i="31"/>
  <c r="L703" i="31" s="1"/>
  <c r="I758" i="31"/>
  <c r="M758" i="31"/>
  <c r="J760" i="31"/>
  <c r="G783" i="31"/>
  <c r="K783" i="31"/>
  <c r="M783" i="31"/>
  <c r="M769" i="31"/>
  <c r="K771" i="31"/>
  <c r="G772" i="31"/>
  <c r="I772" i="31"/>
  <c r="K772" i="31"/>
  <c r="M772" i="31"/>
  <c r="J792" i="31"/>
  <c r="J791" i="31" s="1"/>
  <c r="L792" i="31"/>
  <c r="L791" i="31" s="1"/>
  <c r="K704" i="31"/>
  <c r="K703" i="31" s="1"/>
  <c r="L706" i="31"/>
  <c r="L723" i="31"/>
  <c r="L722" i="31" s="1"/>
  <c r="L721" i="31" s="1"/>
  <c r="L720" i="31" s="1"/>
  <c r="F174" i="30"/>
  <c r="F144" i="30" s="1"/>
  <c r="F143" i="30" s="1"/>
  <c r="D90" i="30"/>
  <c r="D60" i="30" s="1"/>
  <c r="F43" i="30"/>
  <c r="F11" i="30" s="1"/>
  <c r="E13" i="30"/>
  <c r="E12" i="30" s="1"/>
  <c r="D174" i="30"/>
  <c r="F90" i="30"/>
  <c r="F60" i="30" s="1"/>
  <c r="E61" i="30"/>
  <c r="D43" i="30"/>
  <c r="D11" i="30"/>
  <c r="E221" i="30"/>
  <c r="E220" i="30" s="1"/>
  <c r="E206" i="30"/>
  <c r="E187" i="30" s="1"/>
  <c r="E175" i="30"/>
  <c r="E174" i="30" s="1"/>
  <c r="E158" i="30"/>
  <c r="E150" i="30" s="1"/>
  <c r="E138" i="30"/>
  <c r="E137" i="30" s="1"/>
  <c r="E133" i="30" s="1"/>
  <c r="E127" i="30"/>
  <c r="E105" i="30"/>
  <c r="E104" i="30" s="1"/>
  <c r="E90" i="30" s="1"/>
  <c r="E89" i="30"/>
  <c r="E88" i="30" s="1"/>
  <c r="E83" i="30" s="1"/>
  <c r="E30" i="30"/>
  <c r="E29" i="30" s="1"/>
  <c r="E27" i="30" s="1"/>
  <c r="G21" i="29"/>
  <c r="I21" i="29"/>
  <c r="I31" i="29" s="1"/>
  <c r="K21" i="29"/>
  <c r="K31" i="29" s="1"/>
  <c r="O31" i="29"/>
  <c r="L31" i="29"/>
  <c r="K115" i="13"/>
  <c r="K114" i="13" s="1"/>
  <c r="L133" i="13"/>
  <c r="M21" i="29"/>
  <c r="M31" i="29" s="1"/>
  <c r="J21" i="29"/>
  <c r="F21" i="29"/>
  <c r="F31" i="29" s="1"/>
  <c r="N21" i="29"/>
  <c r="N31" i="29" s="1"/>
  <c r="J31" i="29"/>
  <c r="H31" i="29"/>
  <c r="E33" i="12"/>
  <c r="F33" i="12"/>
  <c r="G33" i="12"/>
  <c r="I33" i="12" s="1"/>
  <c r="L259" i="13"/>
  <c r="M258" i="13"/>
  <c r="K258" i="13"/>
  <c r="J258" i="13"/>
  <c r="I258" i="13"/>
  <c r="H258" i="13"/>
  <c r="L249" i="13"/>
  <c r="J250" i="13"/>
  <c r="J248" i="13" s="1"/>
  <c r="L246" i="13"/>
  <c r="L245" i="13"/>
  <c r="K244" i="13"/>
  <c r="K243" i="13" s="1"/>
  <c r="J244" i="13"/>
  <c r="J243" i="13" s="1"/>
  <c r="L374" i="13"/>
  <c r="J373" i="13"/>
  <c r="L711" i="13"/>
  <c r="K710" i="13"/>
  <c r="L710" i="13"/>
  <c r="J710" i="13"/>
  <c r="L682" i="13"/>
  <c r="K681" i="13"/>
  <c r="K680" i="13" s="1"/>
  <c r="K679" i="13" s="1"/>
  <c r="L681" i="13"/>
  <c r="L680" i="13" s="1"/>
  <c r="L679" i="13" s="1"/>
  <c r="M680" i="13"/>
  <c r="N680" i="13"/>
  <c r="M679" i="13"/>
  <c r="N679" i="13"/>
  <c r="J681" i="13"/>
  <c r="J680" i="13" s="1"/>
  <c r="J679" i="13" s="1"/>
  <c r="J578" i="13"/>
  <c r="K578" i="13"/>
  <c r="L506" i="13"/>
  <c r="L505" i="13" s="1"/>
  <c r="J625" i="13"/>
  <c r="L626" i="13"/>
  <c r="L625" i="13" s="1"/>
  <c r="K625" i="13"/>
  <c r="L638" i="13"/>
  <c r="L637" i="13" s="1"/>
  <c r="L636" i="13" s="1"/>
  <c r="K637" i="13"/>
  <c r="K636" i="13" s="1"/>
  <c r="J637" i="13"/>
  <c r="J636" i="13" s="1"/>
  <c r="L483" i="13"/>
  <c r="L482" i="13" s="1"/>
  <c r="L481" i="13" s="1"/>
  <c r="L750" i="13" s="1"/>
  <c r="I28" i="12" s="1"/>
  <c r="K482" i="13"/>
  <c r="K481" i="13" s="1"/>
  <c r="K750" i="13" s="1"/>
  <c r="H28" i="12" s="1"/>
  <c r="J482" i="13"/>
  <c r="J481" i="13" s="1"/>
  <c r="J750" i="13" s="1"/>
  <c r="G28" i="12" s="1"/>
  <c r="L487" i="13"/>
  <c r="L486" i="13" s="1"/>
  <c r="L485" i="13" s="1"/>
  <c r="K486" i="13"/>
  <c r="K485" i="13" s="1"/>
  <c r="J486" i="13"/>
  <c r="J485" i="13" s="1"/>
  <c r="L581" i="13"/>
  <c r="L580" i="13" s="1"/>
  <c r="J580" i="13"/>
  <c r="K580" i="13"/>
  <c r="L658" i="13"/>
  <c r="L657" i="13" s="1"/>
  <c r="L654" i="13"/>
  <c r="K657" i="13"/>
  <c r="J657" i="13"/>
  <c r="K653" i="13"/>
  <c r="L653" i="13"/>
  <c r="J653" i="13"/>
  <c r="L630" i="13"/>
  <c r="L629" i="13" s="1"/>
  <c r="J629" i="13"/>
  <c r="K629" i="13"/>
  <c r="K627" i="13"/>
  <c r="L195" i="13"/>
  <c r="L194" i="13"/>
  <c r="L188" i="13"/>
  <c r="L186" i="13" s="1"/>
  <c r="M130" i="13"/>
  <c r="N130" i="13"/>
  <c r="J130" i="13"/>
  <c r="L132" i="13"/>
  <c r="K130" i="13"/>
  <c r="R19" i="26"/>
  <c r="R8" i="26"/>
  <c r="P8" i="26" s="1"/>
  <c r="Q23" i="26"/>
  <c r="S23" i="26"/>
  <c r="P22" i="26"/>
  <c r="S28" i="26"/>
  <c r="S29" i="26" s="1"/>
  <c r="R28" i="26"/>
  <c r="Q28" i="26"/>
  <c r="P27" i="26"/>
  <c r="N27" i="26"/>
  <c r="M27" i="26" s="1"/>
  <c r="J27" i="26"/>
  <c r="P25" i="26"/>
  <c r="S24" i="26"/>
  <c r="R24" i="26"/>
  <c r="Q24" i="26"/>
  <c r="O24" i="26"/>
  <c r="O28" i="26" s="1"/>
  <c r="L24" i="26"/>
  <c r="L28" i="26" s="1"/>
  <c r="K24" i="26"/>
  <c r="K28" i="26" s="1"/>
  <c r="I24" i="26"/>
  <c r="I28" i="26" s="1"/>
  <c r="H24" i="26"/>
  <c r="H28" i="26" s="1"/>
  <c r="G24" i="26"/>
  <c r="G28" i="26" s="1"/>
  <c r="P23" i="26"/>
  <c r="M23" i="26"/>
  <c r="J23" i="26"/>
  <c r="P21" i="26"/>
  <c r="M21" i="26"/>
  <c r="J21" i="26"/>
  <c r="P20" i="26"/>
  <c r="P19" i="26"/>
  <c r="J19" i="26"/>
  <c r="P18" i="26"/>
  <c r="J18" i="26"/>
  <c r="P17" i="26"/>
  <c r="N17" i="26"/>
  <c r="M17" i="26" s="1"/>
  <c r="J17" i="26"/>
  <c r="P16" i="26"/>
  <c r="M16" i="26"/>
  <c r="J16" i="26"/>
  <c r="P15" i="26"/>
  <c r="M15" i="26"/>
  <c r="J15" i="26"/>
  <c r="J24" i="26" s="1"/>
  <c r="J28" i="26" s="1"/>
  <c r="P14" i="26"/>
  <c r="M14" i="26"/>
  <c r="P13" i="26"/>
  <c r="M13" i="26"/>
  <c r="R12" i="26"/>
  <c r="P12" i="26" s="1"/>
  <c r="M12" i="26"/>
  <c r="O11" i="26"/>
  <c r="N11" i="26"/>
  <c r="L11" i="26"/>
  <c r="J11" i="26"/>
  <c r="I11" i="26"/>
  <c r="G11" i="26"/>
  <c r="P10" i="26"/>
  <c r="P9" i="26"/>
  <c r="N9" i="26"/>
  <c r="M9" i="26" s="1"/>
  <c r="J9" i="26"/>
  <c r="K759" i="31" l="1"/>
  <c r="K509" i="31"/>
  <c r="I759" i="31"/>
  <c r="I509" i="31"/>
  <c r="I757" i="31" s="1"/>
  <c r="I805" i="31" s="1"/>
  <c r="K736" i="31"/>
  <c r="M759" i="31"/>
  <c r="M509" i="31"/>
  <c r="M757" i="31" s="1"/>
  <c r="K757" i="31"/>
  <c r="M569" i="31"/>
  <c r="M762" i="31" s="1"/>
  <c r="L468" i="31"/>
  <c r="L460" i="31" s="1"/>
  <c r="L743" i="31" s="1"/>
  <c r="P4" i="31"/>
  <c r="H203" i="31"/>
  <c r="R11" i="26"/>
  <c r="R29" i="26" s="1"/>
  <c r="D144" i="30"/>
  <c r="D143" i="30" s="1"/>
  <c r="N604" i="31"/>
  <c r="L569" i="31"/>
  <c r="N497" i="31"/>
  <c r="N756" i="31" s="1"/>
  <c r="G426" i="31"/>
  <c r="L293" i="31"/>
  <c r="L292" i="31" s="1"/>
  <c r="L286" i="31" s="1"/>
  <c r="G286" i="31"/>
  <c r="G786" i="31" s="1"/>
  <c r="L256" i="31"/>
  <c r="N60" i="31"/>
  <c r="N776" i="31" s="1"/>
  <c r="K801" i="31"/>
  <c r="K256" i="31"/>
  <c r="P537" i="31"/>
  <c r="L536" i="31"/>
  <c r="I764" i="31"/>
  <c r="I105" i="31"/>
  <c r="I765" i="31"/>
  <c r="I13" i="31"/>
  <c r="P28" i="26"/>
  <c r="O729" i="13"/>
  <c r="G31" i="29"/>
  <c r="E113" i="30"/>
  <c r="L756" i="31"/>
  <c r="L751" i="31" s="1"/>
  <c r="L179" i="31"/>
  <c r="I747" i="31"/>
  <c r="K747" i="31"/>
  <c r="N160" i="31"/>
  <c r="N767" i="31" s="1"/>
  <c r="N545" i="31"/>
  <c r="N544" i="31" s="1"/>
  <c r="N543" i="31" s="1"/>
  <c r="N438" i="31"/>
  <c r="N358" i="31"/>
  <c r="N355" i="31" s="1"/>
  <c r="N783" i="31" s="1"/>
  <c r="L242" i="31"/>
  <c r="L40" i="31"/>
  <c r="L775" i="31" s="1"/>
  <c r="L317" i="31"/>
  <c r="L804" i="31" s="1"/>
  <c r="J308" i="31"/>
  <c r="J203" i="31" s="1"/>
  <c r="J174" i="31"/>
  <c r="K455" i="31"/>
  <c r="K454" i="31" s="1"/>
  <c r="K739" i="31" s="1"/>
  <c r="H751" i="31"/>
  <c r="E21" i="29"/>
  <c r="E31" i="29" s="1"/>
  <c r="L268" i="31"/>
  <c r="L267" i="31" s="1"/>
  <c r="D10" i="30"/>
  <c r="M11" i="26"/>
  <c r="I783" i="31"/>
  <c r="O729" i="31"/>
  <c r="L510" i="31"/>
  <c r="I762" i="31"/>
  <c r="J733" i="31"/>
  <c r="H97" i="31"/>
  <c r="N205" i="31"/>
  <c r="N736" i="31" s="1"/>
  <c r="N758" i="31"/>
  <c r="O204" i="31"/>
  <c r="H20" i="31"/>
  <c r="L458" i="31"/>
  <c r="L455" i="31" s="1"/>
  <c r="L454" i="31" s="1"/>
  <c r="L739" i="31" s="1"/>
  <c r="N108" i="31"/>
  <c r="N107" i="31" s="1"/>
  <c r="N106" i="31" s="1"/>
  <c r="N763" i="31" s="1"/>
  <c r="N211" i="31"/>
  <c r="N210" i="31" s="1"/>
  <c r="L210" i="31"/>
  <c r="L205" i="31" s="1"/>
  <c r="L204" i="31" s="1"/>
  <c r="K752" i="31"/>
  <c r="K751" i="31" s="1"/>
  <c r="K242" i="31"/>
  <c r="J766" i="31"/>
  <c r="J762" i="31" s="1"/>
  <c r="N522" i="31"/>
  <c r="N759" i="31" s="1"/>
  <c r="L484" i="31"/>
  <c r="J105" i="31"/>
  <c r="J97" i="31" s="1"/>
  <c r="E762" i="31"/>
  <c r="J756" i="31"/>
  <c r="J751" i="31" s="1"/>
  <c r="J484" i="31"/>
  <c r="N784" i="31"/>
  <c r="N174" i="31"/>
  <c r="J774" i="31"/>
  <c r="J773" i="31" s="1"/>
  <c r="J20" i="31"/>
  <c r="J12" i="31" s="1"/>
  <c r="K782" i="31"/>
  <c r="K337" i="31"/>
  <c r="K325" i="31" s="1"/>
  <c r="N787" i="31"/>
  <c r="N286" i="31"/>
  <c r="N786" i="31" s="1"/>
  <c r="L774" i="31"/>
  <c r="L20" i="31"/>
  <c r="J768" i="31"/>
  <c r="E768" i="31"/>
  <c r="N698" i="31"/>
  <c r="N697" i="31" s="1"/>
  <c r="N696" i="31" s="1"/>
  <c r="N695" i="31" s="1"/>
  <c r="L697" i="31"/>
  <c r="L696" i="31" s="1"/>
  <c r="L695" i="31" s="1"/>
  <c r="P698" i="31"/>
  <c r="R409" i="31"/>
  <c r="O409" i="31"/>
  <c r="N347" i="31"/>
  <c r="N346" i="31" s="1"/>
  <c r="N345" i="31" s="1"/>
  <c r="L346" i="31"/>
  <c r="L345" i="31" s="1"/>
  <c r="K738" i="31"/>
  <c r="K733" i="31" s="1"/>
  <c r="K204" i="31"/>
  <c r="K203" i="31" s="1"/>
  <c r="S35" i="31"/>
  <c r="R122" i="31"/>
  <c r="T116" i="31"/>
  <c r="L749" i="31"/>
  <c r="L476" i="31"/>
  <c r="N635" i="31"/>
  <c r="L802" i="31"/>
  <c r="L801" i="31" s="1"/>
  <c r="L308" i="31"/>
  <c r="K775" i="31"/>
  <c r="K773" i="31" s="1"/>
  <c r="K20" i="31"/>
  <c r="K12" i="31" s="1"/>
  <c r="L738" i="31"/>
  <c r="N738" i="31"/>
  <c r="M775" i="31"/>
  <c r="M20" i="31"/>
  <c r="I780" i="31"/>
  <c r="I97" i="31"/>
  <c r="N765" i="31"/>
  <c r="N13" i="31"/>
  <c r="L639" i="31"/>
  <c r="L777" i="31"/>
  <c r="J640" i="31"/>
  <c r="J639" i="31" s="1"/>
  <c r="L438" i="31"/>
  <c r="L763" i="31"/>
  <c r="M733" i="31"/>
  <c r="G733" i="31"/>
  <c r="J509" i="31"/>
  <c r="L766" i="31"/>
  <c r="L543" i="31"/>
  <c r="L522" i="31" s="1"/>
  <c r="L759" i="31" s="1"/>
  <c r="I203" i="31"/>
  <c r="G774" i="31"/>
  <c r="K780" i="31"/>
  <c r="H426" i="31"/>
  <c r="G203" i="31"/>
  <c r="L14" i="31"/>
  <c r="M780" i="31"/>
  <c r="N115" i="31"/>
  <c r="N114" i="31" s="1"/>
  <c r="N111" i="31" s="1"/>
  <c r="H733" i="31"/>
  <c r="L758" i="31"/>
  <c r="L734" i="31"/>
  <c r="L748" i="31"/>
  <c r="L747" i="31" s="1"/>
  <c r="L420" i="31"/>
  <c r="L419" i="31" s="1"/>
  <c r="L746" i="31"/>
  <c r="L745" i="31" s="1"/>
  <c r="L230" i="31"/>
  <c r="L784" i="31"/>
  <c r="L174" i="31"/>
  <c r="K764" i="31"/>
  <c r="K762" i="31" s="1"/>
  <c r="K105" i="31"/>
  <c r="K97" i="31" s="1"/>
  <c r="N749" i="31"/>
  <c r="N476" i="31"/>
  <c r="N774" i="31"/>
  <c r="N20" i="31"/>
  <c r="N773" i="31" s="1"/>
  <c r="G780" i="31"/>
  <c r="G97" i="31"/>
  <c r="N748" i="31"/>
  <c r="N420" i="31"/>
  <c r="N419" i="31" s="1"/>
  <c r="M788" i="31"/>
  <c r="M286" i="31"/>
  <c r="M786" i="31" s="1"/>
  <c r="I773" i="31"/>
  <c r="I12" i="31"/>
  <c r="G773" i="31"/>
  <c r="G12" i="31"/>
  <c r="G730" i="31" s="1"/>
  <c r="H773" i="31"/>
  <c r="H12" i="31"/>
  <c r="H730" i="31" s="1"/>
  <c r="K695" i="31"/>
  <c r="N484" i="31"/>
  <c r="L358" i="31"/>
  <c r="L355" i="31" s="1"/>
  <c r="J757" i="31"/>
  <c r="N753" i="31"/>
  <c r="N751" i="31" s="1"/>
  <c r="N509" i="31"/>
  <c r="N757" i="31" s="1"/>
  <c r="M751" i="31"/>
  <c r="I774" i="31"/>
  <c r="N427" i="31"/>
  <c r="H762" i="31"/>
  <c r="J801" i="31"/>
  <c r="L115" i="31"/>
  <c r="L114" i="31" s="1"/>
  <c r="L111" i="31" s="1"/>
  <c r="F10" i="30"/>
  <c r="E144" i="30"/>
  <c r="E143" i="30" s="1"/>
  <c r="F236" i="30" s="1"/>
  <c r="D226" i="30"/>
  <c r="D231" i="30" s="1"/>
  <c r="D227" i="30"/>
  <c r="E60" i="30"/>
  <c r="E11" i="30"/>
  <c r="K624" i="13"/>
  <c r="L244" i="13"/>
  <c r="L243" i="13" s="1"/>
  <c r="L752" i="13" s="1"/>
  <c r="K373" i="13"/>
  <c r="J752" i="13"/>
  <c r="K752" i="13"/>
  <c r="N259" i="13"/>
  <c r="N258" i="13" s="1"/>
  <c r="L258" i="13"/>
  <c r="L131" i="13"/>
  <c r="L130" i="13" s="1"/>
  <c r="P11" i="26"/>
  <c r="P24" i="26"/>
  <c r="P29" i="26" s="1"/>
  <c r="Q29" i="26"/>
  <c r="N18" i="26"/>
  <c r="E10" i="30" l="1"/>
  <c r="E226" i="30" s="1"/>
  <c r="I426" i="31"/>
  <c r="N204" i="31"/>
  <c r="N203" i="31" s="1"/>
  <c r="K427" i="31"/>
  <c r="K426" i="31" s="1"/>
  <c r="K730" i="31" s="1"/>
  <c r="L736" i="31"/>
  <c r="I730" i="31"/>
  <c r="L427" i="31"/>
  <c r="M426" i="31"/>
  <c r="L509" i="31"/>
  <c r="L733" i="31"/>
  <c r="L764" i="31"/>
  <c r="L105" i="31"/>
  <c r="L97" i="31" s="1"/>
  <c r="O97" i="31" s="1"/>
  <c r="K769" i="31"/>
  <c r="K768" i="31" s="1"/>
  <c r="K694" i="31"/>
  <c r="K673" i="31" s="1"/>
  <c r="N764" i="31"/>
  <c r="N105" i="31"/>
  <c r="N97" i="31" s="1"/>
  <c r="L765" i="31"/>
  <c r="L13" i="31"/>
  <c r="L12" i="31" s="1"/>
  <c r="J783" i="31"/>
  <c r="J780" i="31" s="1"/>
  <c r="J805" i="31" s="1"/>
  <c r="J635" i="31"/>
  <c r="J426" i="31" s="1"/>
  <c r="O427" i="31" s="1"/>
  <c r="N12" i="31"/>
  <c r="M773" i="31"/>
  <c r="M12" i="31"/>
  <c r="N782" i="31"/>
  <c r="N337" i="31"/>
  <c r="N325" i="31" s="1"/>
  <c r="L769" i="31"/>
  <c r="L768" i="31" s="1"/>
  <c r="L694" i="31"/>
  <c r="L673" i="31" s="1"/>
  <c r="O673" i="31" s="1"/>
  <c r="N426" i="31"/>
  <c r="N733" i="31"/>
  <c r="L757" i="31"/>
  <c r="M203" i="31"/>
  <c r="M805" i="31"/>
  <c r="L203" i="31"/>
  <c r="O203" i="31" s="1"/>
  <c r="K805" i="31"/>
  <c r="L783" i="31"/>
  <c r="L635" i="31"/>
  <c r="L782" i="31"/>
  <c r="L337" i="31"/>
  <c r="L325" i="31" s="1"/>
  <c r="N769" i="31"/>
  <c r="N694" i="31"/>
  <c r="N747" i="31"/>
  <c r="L426" i="31"/>
  <c r="O426" i="31" s="1"/>
  <c r="H805" i="31"/>
  <c r="G805" i="31"/>
  <c r="L762" i="31"/>
  <c r="L773" i="31"/>
  <c r="J730" i="31"/>
  <c r="N780" i="31"/>
  <c r="F226" i="30"/>
  <c r="F231" i="30" s="1"/>
  <c r="F227" i="30"/>
  <c r="E227" i="30" s="1"/>
  <c r="N19" i="26"/>
  <c r="M19" i="26" s="1"/>
  <c r="M18" i="26"/>
  <c r="N24" i="26" l="1"/>
  <c r="N28" i="26" s="1"/>
  <c r="L780" i="31"/>
  <c r="M24" i="26"/>
  <c r="M28" i="26" s="1"/>
  <c r="N762" i="31"/>
  <c r="J806" i="31"/>
  <c r="L805" i="31"/>
  <c r="L730" i="31"/>
  <c r="O12" i="31"/>
  <c r="R12" i="31" s="1"/>
  <c r="M730" i="31"/>
  <c r="N673" i="31"/>
  <c r="N730" i="31" s="1"/>
  <c r="N732" i="31" s="1"/>
  <c r="N768" i="31"/>
  <c r="N805" i="31" s="1"/>
  <c r="K807" i="31"/>
  <c r="F233" i="30"/>
  <c r="M230" i="30"/>
  <c r="E231" i="30"/>
  <c r="E233" i="30"/>
  <c r="F235" i="30"/>
  <c r="M26" i="15"/>
  <c r="M27" i="15"/>
  <c r="M28" i="15"/>
  <c r="L26" i="15"/>
  <c r="C13" i="15"/>
  <c r="C14" i="15"/>
  <c r="C15" i="15"/>
  <c r="C16" i="15"/>
  <c r="C17" i="15"/>
  <c r="C18" i="15"/>
  <c r="C19" i="15"/>
  <c r="C20" i="15"/>
  <c r="C21" i="15"/>
  <c r="C22" i="15"/>
  <c r="C12" i="15"/>
  <c r="C27" i="15"/>
  <c r="C26" i="15"/>
  <c r="N33" i="15"/>
  <c r="N32" i="15" s="1"/>
  <c r="M33" i="15"/>
  <c r="L33" i="15"/>
  <c r="L32" i="15" s="1"/>
  <c r="C33" i="15"/>
  <c r="E32" i="15"/>
  <c r="F32" i="15"/>
  <c r="G32" i="15"/>
  <c r="H32" i="15"/>
  <c r="I32" i="15"/>
  <c r="J32" i="15"/>
  <c r="M32" i="15"/>
  <c r="D32" i="15"/>
  <c r="L22" i="15"/>
  <c r="M22" i="15"/>
  <c r="N22" i="15"/>
  <c r="N21" i="15"/>
  <c r="M21" i="15"/>
  <c r="L21" i="15"/>
  <c r="J731" i="31" l="1"/>
  <c r="L732" i="31"/>
  <c r="K22" i="15"/>
  <c r="C32" i="15"/>
  <c r="M25" i="15"/>
  <c r="K33" i="15"/>
  <c r="K32" i="15" s="1"/>
  <c r="K21" i="15"/>
  <c r="L31" i="15" l="1"/>
  <c r="L30" i="15" s="1"/>
  <c r="L27" i="15"/>
  <c r="L28" i="15"/>
  <c r="L13" i="15"/>
  <c r="L14" i="15"/>
  <c r="L15" i="15"/>
  <c r="L16" i="15"/>
  <c r="L17" i="15"/>
  <c r="L18" i="15"/>
  <c r="L19" i="15"/>
  <c r="L20" i="15"/>
  <c r="L12" i="15"/>
  <c r="L11" i="15" s="1"/>
  <c r="D25" i="15"/>
  <c r="D24" i="15" s="1"/>
  <c r="D30" i="15"/>
  <c r="H30" i="12"/>
  <c r="I30" i="12"/>
  <c r="G30" i="12"/>
  <c r="J353" i="13"/>
  <c r="H28" i="13"/>
  <c r="I28" i="13"/>
  <c r="J288" i="13"/>
  <c r="K288" i="13"/>
  <c r="D23" i="15" l="1"/>
  <c r="D35" i="15" s="1"/>
  <c r="G30" i="15" l="1"/>
  <c r="H30" i="15"/>
  <c r="L508" i="13"/>
  <c r="L507" i="13" s="1"/>
  <c r="K507" i="13"/>
  <c r="J507" i="13"/>
  <c r="L577" i="13"/>
  <c r="L576" i="13" s="1"/>
  <c r="K576" i="13"/>
  <c r="J576" i="13"/>
  <c r="M578" i="13"/>
  <c r="J25" i="13"/>
  <c r="K25" i="13"/>
  <c r="L26" i="13"/>
  <c r="L25" i="13" s="1"/>
  <c r="L319" i="13"/>
  <c r="L318" i="13" s="1"/>
  <c r="K318" i="13"/>
  <c r="J318" i="13"/>
  <c r="K575" i="13" l="1"/>
  <c r="J575" i="13"/>
  <c r="L261" i="13" l="1"/>
  <c r="K260" i="13"/>
  <c r="K257" i="13" s="1"/>
  <c r="L260" i="13"/>
  <c r="L257" i="13" s="1"/>
  <c r="J260" i="13"/>
  <c r="J257" i="13" s="1"/>
  <c r="L667" i="13"/>
  <c r="K666" i="13"/>
  <c r="L666" i="13"/>
  <c r="J666" i="13"/>
  <c r="L532" i="13"/>
  <c r="L531" i="13" s="1"/>
  <c r="K531" i="13"/>
  <c r="J531" i="13"/>
  <c r="L560" i="13"/>
  <c r="L559" i="13" s="1"/>
  <c r="K559" i="13"/>
  <c r="J559" i="13"/>
  <c r="L556" i="13"/>
  <c r="L555" i="13" s="1"/>
  <c r="K555" i="13"/>
  <c r="J555" i="13"/>
  <c r="J155" i="13"/>
  <c r="K155" i="13"/>
  <c r="J500" i="13" l="1"/>
  <c r="K500" i="13"/>
  <c r="K353" i="13"/>
  <c r="M31" i="15"/>
  <c r="M30" i="15" s="1"/>
  <c r="K27" i="15"/>
  <c r="K26" i="15"/>
  <c r="E25" i="15"/>
  <c r="E24" i="15" s="1"/>
  <c r="G25" i="15"/>
  <c r="G24" i="15" s="1"/>
  <c r="G23" i="15" s="1"/>
  <c r="H25" i="15"/>
  <c r="H24" i="15" s="1"/>
  <c r="H23" i="15" s="1"/>
  <c r="I25" i="15"/>
  <c r="I24" i="15" s="1"/>
  <c r="J25" i="15"/>
  <c r="J24" i="15" s="1"/>
  <c r="M24" i="15"/>
  <c r="F31" i="15"/>
  <c r="L157" i="13"/>
  <c r="F28" i="15"/>
  <c r="H79" i="12"/>
  <c r="I79" i="12" s="1"/>
  <c r="H67" i="12"/>
  <c r="H68" i="12"/>
  <c r="H69" i="12"/>
  <c r="H70" i="12"/>
  <c r="I34" i="12"/>
  <c r="L503" i="13"/>
  <c r="L729" i="13"/>
  <c r="L728" i="13" s="1"/>
  <c r="L727" i="13" s="1"/>
  <c r="L726" i="13" s="1"/>
  <c r="L663" i="13"/>
  <c r="G661" i="13"/>
  <c r="H661" i="13"/>
  <c r="I661" i="13"/>
  <c r="K662" i="13"/>
  <c r="K661" i="13" s="1"/>
  <c r="J662" i="13"/>
  <c r="J661" i="13" s="1"/>
  <c r="L159" i="13"/>
  <c r="L715" i="13"/>
  <c r="J595" i="13"/>
  <c r="J594" i="13" s="1"/>
  <c r="J593" i="13" s="1"/>
  <c r="J590" i="13"/>
  <c r="J589" i="13" s="1"/>
  <c r="J586" i="13"/>
  <c r="J584" i="13"/>
  <c r="J583" i="13" s="1"/>
  <c r="J572" i="13"/>
  <c r="J571" i="13" s="1"/>
  <c r="J570" i="13" s="1"/>
  <c r="L554" i="13"/>
  <c r="N554" i="13" s="1"/>
  <c r="N553" i="13" s="1"/>
  <c r="N550" i="13" s="1"/>
  <c r="J539" i="13"/>
  <c r="L514" i="13"/>
  <c r="L469" i="13"/>
  <c r="L468" i="13" s="1"/>
  <c r="J405" i="13"/>
  <c r="J404" i="13" s="1"/>
  <c r="J393" i="13"/>
  <c r="L393" i="13" s="1"/>
  <c r="J392" i="13"/>
  <c r="J277" i="13"/>
  <c r="J276" i="13" s="1"/>
  <c r="J273" i="13"/>
  <c r="J241" i="13"/>
  <c r="L233" i="13"/>
  <c r="J196" i="13"/>
  <c r="L196" i="13" s="1"/>
  <c r="N196" i="13" s="1"/>
  <c r="L127" i="13"/>
  <c r="L119" i="13"/>
  <c r="L29" i="13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N28" i="15"/>
  <c r="N25" i="15" s="1"/>
  <c r="N24" i="15" s="1"/>
  <c r="C29" i="15"/>
  <c r="K29" i="15"/>
  <c r="E30" i="15"/>
  <c r="F30" i="15"/>
  <c r="I30" i="15"/>
  <c r="J30" i="15"/>
  <c r="C34" i="15"/>
  <c r="K34" i="15"/>
  <c r="L786" i="13"/>
  <c r="K786" i="13"/>
  <c r="H66" i="12" s="1"/>
  <c r="J786" i="13"/>
  <c r="N741" i="13"/>
  <c r="M741" i="13"/>
  <c r="G737" i="13"/>
  <c r="K728" i="13"/>
  <c r="K727" i="13" s="1"/>
  <c r="K726" i="13" s="1"/>
  <c r="J728" i="13"/>
  <c r="I728" i="13"/>
  <c r="I727" i="13" s="1"/>
  <c r="I726" i="13" s="1"/>
  <c r="I725" i="13" s="1"/>
  <c r="H728" i="13"/>
  <c r="H727" i="13" s="1"/>
  <c r="H726" i="13" s="1"/>
  <c r="H725" i="13" s="1"/>
  <c r="G728" i="13"/>
  <c r="G727" i="13" s="1"/>
  <c r="G726" i="13" s="1"/>
  <c r="J727" i="13"/>
  <c r="J726" i="13" s="1"/>
  <c r="J725" i="13" s="1"/>
  <c r="L724" i="13"/>
  <c r="N724" i="13" s="1"/>
  <c r="N723" i="13" s="1"/>
  <c r="N722" i="13" s="1"/>
  <c r="N721" i="13" s="1"/>
  <c r="N720" i="13" s="1"/>
  <c r="M723" i="13"/>
  <c r="M722" i="13" s="1"/>
  <c r="M721" i="13" s="1"/>
  <c r="M720" i="13" s="1"/>
  <c r="K723" i="13"/>
  <c r="K722" i="13" s="1"/>
  <c r="K721" i="13" s="1"/>
  <c r="K720" i="13" s="1"/>
  <c r="J723" i="13"/>
  <c r="J722" i="13" s="1"/>
  <c r="J721" i="13" s="1"/>
  <c r="J720" i="13" s="1"/>
  <c r="I723" i="13"/>
  <c r="I722" i="13" s="1"/>
  <c r="I721" i="13" s="1"/>
  <c r="I720" i="13" s="1"/>
  <c r="H723" i="13"/>
  <c r="H722" i="13" s="1"/>
  <c r="H721" i="13" s="1"/>
  <c r="H720" i="13" s="1"/>
  <c r="G723" i="13"/>
  <c r="G722" i="13" s="1"/>
  <c r="G721" i="13" s="1"/>
  <c r="L719" i="13"/>
  <c r="N719" i="13" s="1"/>
  <c r="N718" i="13" s="1"/>
  <c r="N717" i="13" s="1"/>
  <c r="N716" i="13" s="1"/>
  <c r="M718" i="13"/>
  <c r="K718" i="13"/>
  <c r="J718" i="13"/>
  <c r="J717" i="13" s="1"/>
  <c r="J716" i="13" s="1"/>
  <c r="I718" i="13"/>
  <c r="I717" i="13" s="1"/>
  <c r="I716" i="13" s="1"/>
  <c r="H718" i="13"/>
  <c r="G718" i="13"/>
  <c r="M717" i="13"/>
  <c r="M716" i="13" s="1"/>
  <c r="K717" i="13"/>
  <c r="K716" i="13" s="1"/>
  <c r="H717" i="13"/>
  <c r="H716" i="13" s="1"/>
  <c r="G717" i="13"/>
  <c r="G716" i="13" s="1"/>
  <c r="J714" i="13"/>
  <c r="J713" i="13" s="1"/>
  <c r="J712" i="13" s="1"/>
  <c r="I714" i="13"/>
  <c r="I713" i="13" s="1"/>
  <c r="I712" i="13" s="1"/>
  <c r="H714" i="13"/>
  <c r="H713" i="13" s="1"/>
  <c r="H712" i="13" s="1"/>
  <c r="G714" i="13"/>
  <c r="G713" i="13" s="1"/>
  <c r="G712" i="13" s="1"/>
  <c r="P709" i="13"/>
  <c r="L709" i="13"/>
  <c r="L708" i="13" s="1"/>
  <c r="K708" i="13"/>
  <c r="J708" i="13"/>
  <c r="L707" i="13"/>
  <c r="N707" i="13" s="1"/>
  <c r="N706" i="13" s="1"/>
  <c r="M706" i="13"/>
  <c r="K706" i="13"/>
  <c r="J706" i="13"/>
  <c r="I706" i="13"/>
  <c r="H706" i="13"/>
  <c r="G706" i="13"/>
  <c r="L705" i="13"/>
  <c r="N705" i="13" s="1"/>
  <c r="N704" i="13" s="1"/>
  <c r="N703" i="13" s="1"/>
  <c r="G705" i="13"/>
  <c r="G704" i="13" s="1"/>
  <c r="M704" i="13"/>
  <c r="J704" i="13"/>
  <c r="I704" i="13"/>
  <c r="H704" i="13"/>
  <c r="L702" i="13"/>
  <c r="L701" i="13" s="1"/>
  <c r="K701" i="13"/>
  <c r="J701" i="13"/>
  <c r="L700" i="13"/>
  <c r="L699" i="13" s="1"/>
  <c r="K699" i="13"/>
  <c r="J699" i="13"/>
  <c r="M698" i="13"/>
  <c r="M697" i="13" s="1"/>
  <c r="M696" i="13" s="1"/>
  <c r="L698" i="13"/>
  <c r="P698" i="13" s="1"/>
  <c r="G698" i="13"/>
  <c r="G697" i="13" s="1"/>
  <c r="G696" i="13" s="1"/>
  <c r="I697" i="13"/>
  <c r="H697" i="13"/>
  <c r="H696" i="13" s="1"/>
  <c r="I696" i="13"/>
  <c r="L693" i="13"/>
  <c r="P693" i="13" s="1"/>
  <c r="K692" i="13"/>
  <c r="J692" i="13"/>
  <c r="J691" i="13" s="1"/>
  <c r="K691" i="13"/>
  <c r="L690" i="13"/>
  <c r="P690" i="13" s="1"/>
  <c r="K689" i="13"/>
  <c r="J689" i="13"/>
  <c r="L686" i="13"/>
  <c r="N686" i="13" s="1"/>
  <c r="N685" i="13" s="1"/>
  <c r="N684" i="13" s="1"/>
  <c r="N683" i="13" s="1"/>
  <c r="M685" i="13"/>
  <c r="K685" i="13"/>
  <c r="J685" i="13"/>
  <c r="J684" i="13" s="1"/>
  <c r="I685" i="13"/>
  <c r="H685" i="13"/>
  <c r="H684" i="13" s="1"/>
  <c r="G685" i="13"/>
  <c r="G684" i="13" s="1"/>
  <c r="M684" i="13"/>
  <c r="M683" i="13" s="1"/>
  <c r="H683" i="13"/>
  <c r="G683" i="13"/>
  <c r="M678" i="13"/>
  <c r="M677" i="13" s="1"/>
  <c r="M676" i="13" s="1"/>
  <c r="M675" i="13" s="1"/>
  <c r="M674" i="13" s="1"/>
  <c r="L678" i="13"/>
  <c r="P678" i="13" s="1"/>
  <c r="K677" i="13"/>
  <c r="J677" i="13"/>
  <c r="J676" i="13" s="1"/>
  <c r="J675" i="13" s="1"/>
  <c r="J674" i="13" s="1"/>
  <c r="I677" i="13"/>
  <c r="I676" i="13" s="1"/>
  <c r="I675" i="13" s="1"/>
  <c r="I674" i="13" s="1"/>
  <c r="H677" i="13"/>
  <c r="G677" i="13"/>
  <c r="K676" i="13"/>
  <c r="K675" i="13" s="1"/>
  <c r="K674" i="13" s="1"/>
  <c r="H676" i="13"/>
  <c r="H675" i="13" s="1"/>
  <c r="H674" i="13" s="1"/>
  <c r="G676" i="13"/>
  <c r="G675" i="13" s="1"/>
  <c r="G674" i="13" s="1"/>
  <c r="L672" i="13"/>
  <c r="L671" i="13" s="1"/>
  <c r="L670" i="13" s="1"/>
  <c r="L669" i="13" s="1"/>
  <c r="K671" i="13"/>
  <c r="K670" i="13" s="1"/>
  <c r="K669" i="13" s="1"/>
  <c r="J671" i="13"/>
  <c r="J670" i="13" s="1"/>
  <c r="J669" i="13" s="1"/>
  <c r="I671" i="13"/>
  <c r="I670" i="13" s="1"/>
  <c r="I669" i="13" s="1"/>
  <c r="H671" i="13"/>
  <c r="H670" i="13" s="1"/>
  <c r="H669" i="13" s="1"/>
  <c r="G671" i="13"/>
  <c r="G670" i="13" s="1"/>
  <c r="G669" i="13" s="1"/>
  <c r="L665" i="13"/>
  <c r="N665" i="13" s="1"/>
  <c r="N664" i="13" s="1"/>
  <c r="N661" i="13" s="1"/>
  <c r="M664" i="13"/>
  <c r="K664" i="13"/>
  <c r="J664" i="13"/>
  <c r="I664" i="13"/>
  <c r="H664" i="13"/>
  <c r="G664" i="13"/>
  <c r="M661" i="13"/>
  <c r="J652" i="13"/>
  <c r="L652" i="13" s="1"/>
  <c r="M651" i="13"/>
  <c r="K651" i="13"/>
  <c r="I651" i="13"/>
  <c r="H651" i="13"/>
  <c r="L650" i="13"/>
  <c r="N650" i="13" s="1"/>
  <c r="N649" i="13" s="1"/>
  <c r="N648" i="13" s="1"/>
  <c r="M649" i="13"/>
  <c r="K649" i="13"/>
  <c r="K648" i="13" s="1"/>
  <c r="J649" i="13"/>
  <c r="J648" i="13" s="1"/>
  <c r="I649" i="13"/>
  <c r="H649" i="13"/>
  <c r="G649" i="13"/>
  <c r="G648" i="13" s="1"/>
  <c r="M648" i="13"/>
  <c r="I648" i="13"/>
  <c r="H648" i="13"/>
  <c r="J647" i="13"/>
  <c r="L647" i="13" s="1"/>
  <c r="N647" i="13" s="1"/>
  <c r="M646" i="13"/>
  <c r="K646" i="13"/>
  <c r="I646" i="13"/>
  <c r="H646" i="13"/>
  <c r="G646" i="13"/>
  <c r="J645" i="13"/>
  <c r="L645" i="13" s="1"/>
  <c r="N645" i="13" s="1"/>
  <c r="N644" i="13" s="1"/>
  <c r="M644" i="13"/>
  <c r="K644" i="13"/>
  <c r="I644" i="13"/>
  <c r="H644" i="13"/>
  <c r="J643" i="13"/>
  <c r="L643" i="13" s="1"/>
  <c r="N643" i="13" s="1"/>
  <c r="J642" i="13"/>
  <c r="L642" i="13" s="1"/>
  <c r="G642" i="13"/>
  <c r="G641" i="13" s="1"/>
  <c r="G640" i="13" s="1"/>
  <c r="M641" i="13"/>
  <c r="K641" i="13"/>
  <c r="I641" i="13"/>
  <c r="H641" i="13"/>
  <c r="L634" i="13"/>
  <c r="N634" i="13" s="1"/>
  <c r="N633" i="13" s="1"/>
  <c r="N632" i="13" s="1"/>
  <c r="N631" i="13" s="1"/>
  <c r="M633" i="13"/>
  <c r="K633" i="13"/>
  <c r="J633" i="13"/>
  <c r="J632" i="13" s="1"/>
  <c r="J631" i="13" s="1"/>
  <c r="I633" i="13"/>
  <c r="I632" i="13" s="1"/>
  <c r="I631" i="13" s="1"/>
  <c r="H633" i="13"/>
  <c r="G633" i="13"/>
  <c r="M632" i="13"/>
  <c r="M631" i="13" s="1"/>
  <c r="K632" i="13"/>
  <c r="K631" i="13" s="1"/>
  <c r="K623" i="13" s="1"/>
  <c r="H632" i="13"/>
  <c r="H631" i="13" s="1"/>
  <c r="G632" i="13"/>
  <c r="G631" i="13" s="1"/>
  <c r="G777" i="13" s="1"/>
  <c r="G628" i="13"/>
  <c r="M627" i="13"/>
  <c r="I627" i="13"/>
  <c r="I624" i="13" s="1"/>
  <c r="H627" i="13"/>
  <c r="G627" i="13"/>
  <c r="G624" i="13" s="1"/>
  <c r="M624" i="13"/>
  <c r="H624" i="13"/>
  <c r="L622" i="13"/>
  <c r="N622" i="13" s="1"/>
  <c r="N621" i="13" s="1"/>
  <c r="N620" i="13" s="1"/>
  <c r="N619" i="13" s="1"/>
  <c r="M621" i="13"/>
  <c r="M620" i="13" s="1"/>
  <c r="M619" i="13" s="1"/>
  <c r="K621" i="13"/>
  <c r="K620" i="13" s="1"/>
  <c r="K619" i="13" s="1"/>
  <c r="J621" i="13"/>
  <c r="I621" i="13"/>
  <c r="H621" i="13"/>
  <c r="H620" i="13" s="1"/>
  <c r="H619" i="13" s="1"/>
  <c r="G621" i="13"/>
  <c r="G620" i="13" s="1"/>
  <c r="G619" i="13" s="1"/>
  <c r="J620" i="13"/>
  <c r="J619" i="13" s="1"/>
  <c r="I620" i="13"/>
  <c r="I619" i="13" s="1"/>
  <c r="L618" i="13"/>
  <c r="L617" i="13" s="1"/>
  <c r="L616" i="13" s="1"/>
  <c r="L615" i="13" s="1"/>
  <c r="K617" i="13"/>
  <c r="K616" i="13" s="1"/>
  <c r="K615" i="13" s="1"/>
  <c r="J617" i="13"/>
  <c r="J616" i="13" s="1"/>
  <c r="J615" i="13" s="1"/>
  <c r="I617" i="13"/>
  <c r="I616" i="13" s="1"/>
  <c r="I615" i="13" s="1"/>
  <c r="H617" i="13"/>
  <c r="H616" i="13" s="1"/>
  <c r="H615" i="13" s="1"/>
  <c r="G617" i="13"/>
  <c r="G616" i="13" s="1"/>
  <c r="G615" i="13" s="1"/>
  <c r="L614" i="13"/>
  <c r="N614" i="13" s="1"/>
  <c r="N613" i="13" s="1"/>
  <c r="N612" i="13" s="1"/>
  <c r="N611" i="13" s="1"/>
  <c r="M613" i="13"/>
  <c r="M612" i="13" s="1"/>
  <c r="M611" i="13" s="1"/>
  <c r="M770" i="13" s="1"/>
  <c r="K613" i="13"/>
  <c r="J613" i="13"/>
  <c r="I613" i="13"/>
  <c r="I612" i="13" s="1"/>
  <c r="I611" i="13" s="1"/>
  <c r="I770" i="13" s="1"/>
  <c r="H613" i="13"/>
  <c r="H612" i="13" s="1"/>
  <c r="H611" i="13" s="1"/>
  <c r="H770" i="13" s="1"/>
  <c r="G613" i="13"/>
  <c r="K612" i="13"/>
  <c r="K611" i="13" s="1"/>
  <c r="K770" i="13" s="1"/>
  <c r="J612" i="13"/>
  <c r="J611" i="13" s="1"/>
  <c r="J770" i="13" s="1"/>
  <c r="G612" i="13"/>
  <c r="G611" i="13" s="1"/>
  <c r="G770" i="13" s="1"/>
  <c r="L610" i="13"/>
  <c r="L609" i="13" s="1"/>
  <c r="K609" i="13"/>
  <c r="J609" i="13"/>
  <c r="K608" i="13"/>
  <c r="L608" i="13" s="1"/>
  <c r="L607" i="13"/>
  <c r="N607" i="13" s="1"/>
  <c r="M606" i="13"/>
  <c r="M605" i="13" s="1"/>
  <c r="J606" i="13"/>
  <c r="J605" i="13" s="1"/>
  <c r="L600" i="13"/>
  <c r="N600" i="13" s="1"/>
  <c r="N599" i="13" s="1"/>
  <c r="N598" i="13" s="1"/>
  <c r="M599" i="13"/>
  <c r="M598" i="13" s="1"/>
  <c r="K599" i="13"/>
  <c r="K598" i="13" s="1"/>
  <c r="J599" i="13"/>
  <c r="I599" i="13"/>
  <c r="H599" i="13"/>
  <c r="H598" i="13" s="1"/>
  <c r="G599" i="13"/>
  <c r="G598" i="13" s="1"/>
  <c r="J598" i="13"/>
  <c r="I598" i="13"/>
  <c r="L597" i="13"/>
  <c r="N597" i="13" s="1"/>
  <c r="N596" i="13" s="1"/>
  <c r="G597" i="13"/>
  <c r="G596" i="13" s="1"/>
  <c r="M596" i="13"/>
  <c r="K596" i="13"/>
  <c r="J596" i="13"/>
  <c r="I596" i="13"/>
  <c r="H596" i="13"/>
  <c r="M594" i="13"/>
  <c r="M593" i="13" s="1"/>
  <c r="K594" i="13"/>
  <c r="K593" i="13" s="1"/>
  <c r="K592" i="13" s="1"/>
  <c r="I594" i="13"/>
  <c r="H594" i="13"/>
  <c r="H593" i="13" s="1"/>
  <c r="G594" i="13"/>
  <c r="G593" i="13" s="1"/>
  <c r="I593" i="13"/>
  <c r="I592" i="13" s="1"/>
  <c r="L591" i="13"/>
  <c r="N591" i="13" s="1"/>
  <c r="N590" i="13" s="1"/>
  <c r="M590" i="13"/>
  <c r="K590" i="13"/>
  <c r="K589" i="13" s="1"/>
  <c r="I590" i="13"/>
  <c r="H590" i="13"/>
  <c r="G590" i="13"/>
  <c r="L588" i="13"/>
  <c r="G588" i="13"/>
  <c r="L587" i="13"/>
  <c r="K587" i="13"/>
  <c r="J587" i="13"/>
  <c r="I587" i="13"/>
  <c r="H587" i="13"/>
  <c r="G587" i="13"/>
  <c r="L586" i="13"/>
  <c r="G586" i="13"/>
  <c r="L585" i="13"/>
  <c r="K585" i="13"/>
  <c r="J585" i="13"/>
  <c r="I585" i="13"/>
  <c r="H585" i="13"/>
  <c r="G585" i="13"/>
  <c r="G584" i="13"/>
  <c r="G583" i="13" s="1"/>
  <c r="M583" i="13"/>
  <c r="K583" i="13"/>
  <c r="I583" i="13"/>
  <c r="H583" i="13"/>
  <c r="M582" i="13"/>
  <c r="N580" i="13"/>
  <c r="L579" i="13"/>
  <c r="L578" i="13" s="1"/>
  <c r="L573" i="13"/>
  <c r="M572" i="13"/>
  <c r="M571" i="13" s="1"/>
  <c r="M570" i="13" s="1"/>
  <c r="K572" i="13"/>
  <c r="K571" i="13" s="1"/>
  <c r="K570" i="13" s="1"/>
  <c r="I572" i="13"/>
  <c r="I571" i="13" s="1"/>
  <c r="I570" i="13" s="1"/>
  <c r="H572" i="13"/>
  <c r="H571" i="13" s="1"/>
  <c r="H570" i="13" s="1"/>
  <c r="J568" i="13"/>
  <c r="L568" i="13" s="1"/>
  <c r="L567" i="13" s="1"/>
  <c r="K567" i="13"/>
  <c r="J566" i="13"/>
  <c r="L566" i="13" s="1"/>
  <c r="N566" i="13" s="1"/>
  <c r="J565" i="13"/>
  <c r="L565" i="13" s="1"/>
  <c r="M564" i="13"/>
  <c r="M563" i="13" s="1"/>
  <c r="M761" i="13" s="1"/>
  <c r="K564" i="13"/>
  <c r="I564" i="13"/>
  <c r="I563" i="13" s="1"/>
  <c r="I761" i="13" s="1"/>
  <c r="H564" i="13"/>
  <c r="H563" i="13" s="1"/>
  <c r="H761" i="13" s="1"/>
  <c r="G564" i="13"/>
  <c r="G563" i="13" s="1"/>
  <c r="G761" i="13" s="1"/>
  <c r="L562" i="13"/>
  <c r="N562" i="13" s="1"/>
  <c r="N561" i="13" s="1"/>
  <c r="N558" i="13" s="1"/>
  <c r="N557" i="13" s="1"/>
  <c r="N760" i="13" s="1"/>
  <c r="M561" i="13"/>
  <c r="M558" i="13" s="1"/>
  <c r="M557" i="13" s="1"/>
  <c r="M760" i="13" s="1"/>
  <c r="K561" i="13"/>
  <c r="K558" i="13" s="1"/>
  <c r="K557" i="13" s="1"/>
  <c r="J561" i="13"/>
  <c r="J558" i="13" s="1"/>
  <c r="J557" i="13" s="1"/>
  <c r="I561" i="13"/>
  <c r="H561" i="13"/>
  <c r="G561" i="13"/>
  <c r="I558" i="13"/>
  <c r="I557" i="13" s="1"/>
  <c r="I760" i="13" s="1"/>
  <c r="H558" i="13"/>
  <c r="H557" i="13" s="1"/>
  <c r="H760" i="13" s="1"/>
  <c r="G558" i="13"/>
  <c r="G557" i="13" s="1"/>
  <c r="G760" i="13" s="1"/>
  <c r="M553" i="13"/>
  <c r="M550" i="13" s="1"/>
  <c r="K553" i="13"/>
  <c r="K550" i="13" s="1"/>
  <c r="J553" i="13"/>
  <c r="J550" i="13" s="1"/>
  <c r="I553" i="13"/>
  <c r="H553" i="13"/>
  <c r="G553" i="13"/>
  <c r="I550" i="13"/>
  <c r="H550" i="13"/>
  <c r="G550" i="13"/>
  <c r="J547" i="13"/>
  <c r="L547" i="13" s="1"/>
  <c r="M546" i="13"/>
  <c r="K546" i="13"/>
  <c r="I546" i="13"/>
  <c r="H546" i="13"/>
  <c r="G546" i="13"/>
  <c r="M545" i="13"/>
  <c r="M544" i="13" s="1"/>
  <c r="K545" i="13"/>
  <c r="K544" i="13" s="1"/>
  <c r="J545" i="13"/>
  <c r="J544" i="13" s="1"/>
  <c r="I544" i="13"/>
  <c r="H544" i="13"/>
  <c r="G544" i="13"/>
  <c r="L542" i="13"/>
  <c r="N542" i="13" s="1"/>
  <c r="N541" i="13" s="1"/>
  <c r="M541" i="13"/>
  <c r="K541" i="13"/>
  <c r="J541" i="13"/>
  <c r="I541" i="13"/>
  <c r="H541" i="13"/>
  <c r="G541" i="13"/>
  <c r="L540" i="13"/>
  <c r="N540" i="13" s="1"/>
  <c r="N539" i="13" s="1"/>
  <c r="M539" i="13"/>
  <c r="K539" i="13"/>
  <c r="I539" i="13"/>
  <c r="H539" i="13"/>
  <c r="G539" i="13"/>
  <c r="L537" i="13"/>
  <c r="N537" i="13" s="1"/>
  <c r="N536" i="13" s="1"/>
  <c r="M536" i="13"/>
  <c r="K536" i="13"/>
  <c r="J536" i="13"/>
  <c r="I536" i="13"/>
  <c r="H536" i="13"/>
  <c r="L535" i="13"/>
  <c r="N535" i="13" s="1"/>
  <c r="N534" i="13" s="1"/>
  <c r="N533" i="13" s="1"/>
  <c r="G535" i="13"/>
  <c r="G534" i="13" s="1"/>
  <c r="G533" i="13" s="1"/>
  <c r="M534" i="13"/>
  <c r="J534" i="13"/>
  <c r="J533" i="13" s="1"/>
  <c r="I534" i="13"/>
  <c r="I533" i="13" s="1"/>
  <c r="H534" i="13"/>
  <c r="H533" i="13" s="1"/>
  <c r="M533" i="13"/>
  <c r="L530" i="13"/>
  <c r="N530" i="13" s="1"/>
  <c r="L529" i="13"/>
  <c r="N529" i="13" s="1"/>
  <c r="L528" i="13"/>
  <c r="N528" i="13" s="1"/>
  <c r="L527" i="13"/>
  <c r="N527" i="13" s="1"/>
  <c r="M526" i="13"/>
  <c r="K526" i="13"/>
  <c r="J526" i="13"/>
  <c r="I526" i="13"/>
  <c r="H526" i="13"/>
  <c r="L525" i="13"/>
  <c r="N525" i="13" s="1"/>
  <c r="R524" i="13"/>
  <c r="L524" i="13"/>
  <c r="N524" i="13" s="1"/>
  <c r="M523" i="13"/>
  <c r="K523" i="13"/>
  <c r="J523" i="13"/>
  <c r="L517" i="13"/>
  <c r="N517" i="13" s="1"/>
  <c r="N516" i="13" s="1"/>
  <c r="R516" i="13"/>
  <c r="M516" i="13"/>
  <c r="K516" i="13"/>
  <c r="J516" i="13"/>
  <c r="I516" i="13"/>
  <c r="H516" i="13"/>
  <c r="M513" i="13"/>
  <c r="K513" i="13"/>
  <c r="I513" i="13"/>
  <c r="H513" i="13"/>
  <c r="L512" i="13"/>
  <c r="N512" i="13" s="1"/>
  <c r="N511" i="13" s="1"/>
  <c r="M511" i="13"/>
  <c r="K511" i="13"/>
  <c r="J511" i="13"/>
  <c r="I511" i="13"/>
  <c r="H511" i="13"/>
  <c r="G511" i="13"/>
  <c r="G758" i="13" s="1"/>
  <c r="N506" i="13"/>
  <c r="N505" i="13" s="1"/>
  <c r="N504" i="13" s="1"/>
  <c r="M505" i="13"/>
  <c r="K505" i="13"/>
  <c r="K504" i="13" s="1"/>
  <c r="J505" i="13"/>
  <c r="I505" i="13"/>
  <c r="H505" i="13"/>
  <c r="H504" i="13" s="1"/>
  <c r="G505" i="13"/>
  <c r="G504" i="13" s="1"/>
  <c r="M504" i="13"/>
  <c r="J504" i="13"/>
  <c r="I504" i="13"/>
  <c r="L502" i="13"/>
  <c r="L501" i="13"/>
  <c r="N501" i="13" s="1"/>
  <c r="N500" i="13" s="1"/>
  <c r="H501" i="13"/>
  <c r="G501" i="13"/>
  <c r="M500" i="13"/>
  <c r="I500" i="13"/>
  <c r="H500" i="13"/>
  <c r="G500" i="13"/>
  <c r="M499" i="13"/>
  <c r="M498" i="13" s="1"/>
  <c r="I499" i="13"/>
  <c r="J499" i="13" s="1"/>
  <c r="L499" i="13" s="1"/>
  <c r="G499" i="13"/>
  <c r="G498" i="13" s="1"/>
  <c r="K498" i="13"/>
  <c r="H498" i="13"/>
  <c r="J496" i="13"/>
  <c r="L496" i="13" s="1"/>
  <c r="M495" i="13"/>
  <c r="M494" i="13" s="1"/>
  <c r="M755" i="13" s="1"/>
  <c r="K495" i="13"/>
  <c r="K494" i="13" s="1"/>
  <c r="K755" i="13" s="1"/>
  <c r="H32" i="12" s="1"/>
  <c r="I32" i="12" s="1"/>
  <c r="I495" i="13"/>
  <c r="I494" i="13" s="1"/>
  <c r="I755" i="13" s="1"/>
  <c r="H495" i="13"/>
  <c r="H494" i="13" s="1"/>
  <c r="L493" i="13"/>
  <c r="N493" i="13" s="1"/>
  <c r="N492" i="13" s="1"/>
  <c r="N491" i="13" s="1"/>
  <c r="N754" i="13" s="1"/>
  <c r="M492" i="13"/>
  <c r="K492" i="13"/>
  <c r="J492" i="13"/>
  <c r="J491" i="13" s="1"/>
  <c r="J754" i="13" s="1"/>
  <c r="I492" i="13"/>
  <c r="H492" i="13"/>
  <c r="G492" i="13"/>
  <c r="M491" i="13"/>
  <c r="M754" i="13" s="1"/>
  <c r="K491" i="13"/>
  <c r="K754" i="13" s="1"/>
  <c r="I491" i="13"/>
  <c r="I754" i="13" s="1"/>
  <c r="H491" i="13"/>
  <c r="H754" i="13" s="1"/>
  <c r="G491" i="13"/>
  <c r="G754" i="13" s="1"/>
  <c r="L490" i="13"/>
  <c r="N490" i="13" s="1"/>
  <c r="N489" i="13" s="1"/>
  <c r="N488" i="13" s="1"/>
  <c r="M489" i="13"/>
  <c r="M488" i="13" s="1"/>
  <c r="L489" i="13"/>
  <c r="L488" i="13" s="1"/>
  <c r="L753" i="13" s="1"/>
  <c r="K489" i="13"/>
  <c r="K488" i="13" s="1"/>
  <c r="K753" i="13" s="1"/>
  <c r="J489" i="13"/>
  <c r="J488" i="13" s="1"/>
  <c r="J753" i="13" s="1"/>
  <c r="I489" i="13"/>
  <c r="I488" i="13" s="1"/>
  <c r="H489" i="13"/>
  <c r="H488" i="13" s="1"/>
  <c r="G489" i="13"/>
  <c r="G488" i="13" s="1"/>
  <c r="L480" i="13"/>
  <c r="N480" i="13" s="1"/>
  <c r="N479" i="13" s="1"/>
  <c r="N478" i="13" s="1"/>
  <c r="N477" i="13" s="1"/>
  <c r="N476" i="13" s="1"/>
  <c r="M479" i="13"/>
  <c r="K479" i="13"/>
  <c r="K478" i="13" s="1"/>
  <c r="K477" i="13" s="1"/>
  <c r="J479" i="13"/>
  <c r="I479" i="13"/>
  <c r="H479" i="13"/>
  <c r="H478" i="13" s="1"/>
  <c r="H477" i="13" s="1"/>
  <c r="G479" i="13"/>
  <c r="G478" i="13" s="1"/>
  <c r="G477" i="13" s="1"/>
  <c r="M478" i="13"/>
  <c r="J478" i="13"/>
  <c r="J477" i="13" s="1"/>
  <c r="I478" i="13"/>
  <c r="I477" i="13" s="1"/>
  <c r="M477" i="13"/>
  <c r="M475" i="13"/>
  <c r="M474" i="13" s="1"/>
  <c r="M473" i="13" s="1"/>
  <c r="L475" i="13"/>
  <c r="H475" i="13"/>
  <c r="H474" i="13" s="1"/>
  <c r="H473" i="13" s="1"/>
  <c r="L474" i="13"/>
  <c r="L473" i="13" s="1"/>
  <c r="K474" i="13"/>
  <c r="K473" i="13" s="1"/>
  <c r="J474" i="13"/>
  <c r="J473" i="13" s="1"/>
  <c r="I474" i="13"/>
  <c r="I473" i="13" s="1"/>
  <c r="G474" i="13"/>
  <c r="G473" i="13" s="1"/>
  <c r="P472" i="13"/>
  <c r="L472" i="13"/>
  <c r="N472" i="13" s="1"/>
  <c r="N471" i="13" s="1"/>
  <c r="M471" i="13"/>
  <c r="K471" i="13"/>
  <c r="J471" i="13"/>
  <c r="I471" i="13"/>
  <c r="H471" i="13"/>
  <c r="G471" i="13"/>
  <c r="K468" i="13"/>
  <c r="P467" i="13"/>
  <c r="L467" i="13"/>
  <c r="L466" i="13" s="1"/>
  <c r="K466" i="13"/>
  <c r="J466" i="13"/>
  <c r="L465" i="13"/>
  <c r="L464" i="13" s="1"/>
  <c r="L463" i="13" s="1"/>
  <c r="H465" i="13"/>
  <c r="H464" i="13" s="1"/>
  <c r="H463" i="13" s="1"/>
  <c r="K464" i="13"/>
  <c r="J464" i="13"/>
  <c r="J463" i="13" s="1"/>
  <c r="I464" i="13"/>
  <c r="I463" i="13" s="1"/>
  <c r="G464" i="13"/>
  <c r="G463" i="13" s="1"/>
  <c r="K463" i="13"/>
  <c r="P462" i="13"/>
  <c r="L462" i="13"/>
  <c r="L461" i="13" s="1"/>
  <c r="K461" i="13"/>
  <c r="J461" i="13"/>
  <c r="I461" i="13"/>
  <c r="H461" i="13"/>
  <c r="G461" i="13"/>
  <c r="L459" i="13"/>
  <c r="N459" i="13" s="1"/>
  <c r="N458" i="13" s="1"/>
  <c r="N455" i="13" s="1"/>
  <c r="N454" i="13" s="1"/>
  <c r="N739" i="13" s="1"/>
  <c r="M458" i="13"/>
  <c r="M455" i="13" s="1"/>
  <c r="M454" i="13" s="1"/>
  <c r="M739" i="13" s="1"/>
  <c r="K458" i="13"/>
  <c r="J458" i="13"/>
  <c r="I458" i="13"/>
  <c r="I455" i="13" s="1"/>
  <c r="I454" i="13" s="1"/>
  <c r="I739" i="13" s="1"/>
  <c r="H458" i="13"/>
  <c r="H455" i="13" s="1"/>
  <c r="H454" i="13" s="1"/>
  <c r="H739" i="13" s="1"/>
  <c r="G458" i="13"/>
  <c r="G455" i="13" s="1"/>
  <c r="G454" i="13" s="1"/>
  <c r="G739" i="13" s="1"/>
  <c r="L457" i="13"/>
  <c r="L456" i="13" s="1"/>
  <c r="K456" i="13"/>
  <c r="J456" i="13"/>
  <c r="I456" i="13"/>
  <c r="H456" i="13"/>
  <c r="G456" i="13"/>
  <c r="J453" i="13"/>
  <c r="L453" i="13" s="1"/>
  <c r="M452" i="13"/>
  <c r="K452" i="13"/>
  <c r="K451" i="13" s="1"/>
  <c r="K737" i="13" s="1"/>
  <c r="H13" i="12" s="1"/>
  <c r="I452" i="13"/>
  <c r="I451" i="13" s="1"/>
  <c r="I737" i="13" s="1"/>
  <c r="H452" i="13"/>
  <c r="H451" i="13" s="1"/>
  <c r="H737" i="13" s="1"/>
  <c r="M451" i="13"/>
  <c r="M737" i="13" s="1"/>
  <c r="J450" i="13"/>
  <c r="L450" i="13" s="1"/>
  <c r="M449" i="13"/>
  <c r="K449" i="13"/>
  <c r="I449" i="13"/>
  <c r="H449" i="13"/>
  <c r="L448" i="13"/>
  <c r="N448" i="13" s="1"/>
  <c r="N447" i="13" s="1"/>
  <c r="M447" i="13"/>
  <c r="K447" i="13"/>
  <c r="J447" i="13"/>
  <c r="I447" i="13"/>
  <c r="H447" i="13"/>
  <c r="M446" i="13"/>
  <c r="M444" i="13" s="1"/>
  <c r="M443" i="13" s="1"/>
  <c r="L446" i="13"/>
  <c r="H446" i="13"/>
  <c r="H444" i="13" s="1"/>
  <c r="H443" i="13" s="1"/>
  <c r="G446" i="13"/>
  <c r="G444" i="13" s="1"/>
  <c r="G443" i="13" s="1"/>
  <c r="L445" i="13"/>
  <c r="N445" i="13" s="1"/>
  <c r="J444" i="13"/>
  <c r="J443" i="13" s="1"/>
  <c r="I444" i="13"/>
  <c r="I443" i="13" s="1"/>
  <c r="P442" i="13"/>
  <c r="L442" i="13"/>
  <c r="N442" i="13" s="1"/>
  <c r="N441" i="13" s="1"/>
  <c r="G442" i="13"/>
  <c r="M441" i="13"/>
  <c r="K441" i="13"/>
  <c r="J441" i="13"/>
  <c r="I441" i="13"/>
  <c r="H441" i="13"/>
  <c r="G441" i="13"/>
  <c r="M440" i="13"/>
  <c r="M439" i="13" s="1"/>
  <c r="K440" i="13"/>
  <c r="K439" i="13" s="1"/>
  <c r="J440" i="13"/>
  <c r="J439" i="13" s="1"/>
  <c r="I439" i="13"/>
  <c r="H439" i="13"/>
  <c r="G439" i="13"/>
  <c r="L437" i="13"/>
  <c r="P437" i="13" s="1"/>
  <c r="M436" i="13"/>
  <c r="K436" i="13"/>
  <c r="J436" i="13"/>
  <c r="I436" i="13"/>
  <c r="H436" i="13"/>
  <c r="G436" i="13"/>
  <c r="L435" i="13"/>
  <c r="P435" i="13" s="1"/>
  <c r="M434" i="13"/>
  <c r="K434" i="13"/>
  <c r="J434" i="13"/>
  <c r="I434" i="13"/>
  <c r="H434" i="13"/>
  <c r="G434" i="13"/>
  <c r="L431" i="13"/>
  <c r="N431" i="13" s="1"/>
  <c r="N430" i="13" s="1"/>
  <c r="N429" i="13" s="1"/>
  <c r="N428" i="13" s="1"/>
  <c r="M430" i="13"/>
  <c r="K430" i="13"/>
  <c r="J430" i="13"/>
  <c r="J429" i="13" s="1"/>
  <c r="J428" i="13" s="1"/>
  <c r="J734" i="13" s="1"/>
  <c r="I430" i="13"/>
  <c r="I429" i="13" s="1"/>
  <c r="I428" i="13" s="1"/>
  <c r="I734" i="13" s="1"/>
  <c r="H430" i="13"/>
  <c r="G430" i="13"/>
  <c r="M429" i="13"/>
  <c r="M428" i="13" s="1"/>
  <c r="M734" i="13" s="1"/>
  <c r="K429" i="13"/>
  <c r="K428" i="13" s="1"/>
  <c r="K734" i="13" s="1"/>
  <c r="H10" i="12" s="1"/>
  <c r="H429" i="13"/>
  <c r="H428" i="13" s="1"/>
  <c r="H734" i="13" s="1"/>
  <c r="G429" i="13"/>
  <c r="G428" i="13" s="1"/>
  <c r="G734" i="13" s="1"/>
  <c r="L425" i="13"/>
  <c r="N425" i="13" s="1"/>
  <c r="N424" i="13" s="1"/>
  <c r="M424" i="13"/>
  <c r="K424" i="13"/>
  <c r="J424" i="13"/>
  <c r="I424" i="13"/>
  <c r="H424" i="13"/>
  <c r="G424" i="13"/>
  <c r="L423" i="13"/>
  <c r="N423" i="13" s="1"/>
  <c r="N422" i="13" s="1"/>
  <c r="M422" i="13"/>
  <c r="K422" i="13"/>
  <c r="J422" i="13"/>
  <c r="I422" i="13"/>
  <c r="H422" i="13"/>
  <c r="G422" i="13"/>
  <c r="L418" i="13"/>
  <c r="N418" i="13" s="1"/>
  <c r="N417" i="13" s="1"/>
  <c r="M417" i="13"/>
  <c r="K417" i="13"/>
  <c r="J417" i="13"/>
  <c r="I417" i="13"/>
  <c r="H417" i="13"/>
  <c r="G417" i="13"/>
  <c r="M416" i="13"/>
  <c r="M415" i="13" s="1"/>
  <c r="L416" i="13"/>
  <c r="G416" i="13"/>
  <c r="G415" i="13" s="1"/>
  <c r="L415" i="13"/>
  <c r="K415" i="13"/>
  <c r="J415" i="13"/>
  <c r="I415" i="13"/>
  <c r="H415" i="13"/>
  <c r="O413" i="13"/>
  <c r="L413" i="13"/>
  <c r="M412" i="13"/>
  <c r="M411" i="13" s="1"/>
  <c r="M410" i="13" s="1"/>
  <c r="L412" i="13"/>
  <c r="G412" i="13"/>
  <c r="G411" i="13" s="1"/>
  <c r="G410" i="13" s="1"/>
  <c r="K411" i="13"/>
  <c r="K410" i="13" s="1"/>
  <c r="J411" i="13"/>
  <c r="J410" i="13" s="1"/>
  <c r="I411" i="13"/>
  <c r="I410" i="13" s="1"/>
  <c r="H411" i="13"/>
  <c r="H410" i="13" s="1"/>
  <c r="P409" i="13"/>
  <c r="M409" i="13"/>
  <c r="M408" i="13" s="1"/>
  <c r="L409" i="13"/>
  <c r="G409" i="13"/>
  <c r="G408" i="13" s="1"/>
  <c r="K408" i="13"/>
  <c r="J408" i="13"/>
  <c r="I408" i="13"/>
  <c r="H408" i="13"/>
  <c r="L406" i="13"/>
  <c r="N406" i="13" s="1"/>
  <c r="N405" i="13" s="1"/>
  <c r="N404" i="13" s="1"/>
  <c r="M405" i="13"/>
  <c r="M404" i="13" s="1"/>
  <c r="K405" i="13"/>
  <c r="K402" i="13" s="1"/>
  <c r="I405" i="13"/>
  <c r="I404" i="13" s="1"/>
  <c r="H405" i="13"/>
  <c r="H404" i="13" s="1"/>
  <c r="G405" i="13"/>
  <c r="G404" i="13" s="1"/>
  <c r="M403" i="13"/>
  <c r="M402" i="13" s="1"/>
  <c r="L403" i="13"/>
  <c r="J402" i="13"/>
  <c r="I402" i="13"/>
  <c r="H402" i="13"/>
  <c r="G402" i="13"/>
  <c r="P401" i="13"/>
  <c r="L401" i="13"/>
  <c r="N401" i="13" s="1"/>
  <c r="N400" i="13" s="1"/>
  <c r="G401" i="13"/>
  <c r="G400" i="13" s="1"/>
  <c r="M400" i="13"/>
  <c r="K400" i="13"/>
  <c r="J400" i="13"/>
  <c r="I400" i="13"/>
  <c r="H400" i="13"/>
  <c r="P399" i="13"/>
  <c r="L399" i="13"/>
  <c r="N399" i="13" s="1"/>
  <c r="N398" i="13" s="1"/>
  <c r="G399" i="13"/>
  <c r="G398" i="13" s="1"/>
  <c r="M398" i="13"/>
  <c r="K398" i="13"/>
  <c r="J398" i="13"/>
  <c r="I398" i="13"/>
  <c r="H398" i="13"/>
  <c r="P397" i="13"/>
  <c r="L397" i="13"/>
  <c r="N397" i="13" s="1"/>
  <c r="N396" i="13" s="1"/>
  <c r="G397" i="13"/>
  <c r="G396" i="13" s="1"/>
  <c r="M396" i="13"/>
  <c r="K396" i="13"/>
  <c r="J396" i="13"/>
  <c r="I396" i="13"/>
  <c r="H396" i="13"/>
  <c r="P395" i="13"/>
  <c r="L395" i="13"/>
  <c r="N395" i="13" s="1"/>
  <c r="N394" i="13" s="1"/>
  <c r="G395" i="13"/>
  <c r="M394" i="13"/>
  <c r="K394" i="13"/>
  <c r="J394" i="13"/>
  <c r="I394" i="13"/>
  <c r="H394" i="13"/>
  <c r="G394" i="13"/>
  <c r="P393" i="13"/>
  <c r="L392" i="13"/>
  <c r="K391" i="13"/>
  <c r="J391" i="13"/>
  <c r="P390" i="13"/>
  <c r="L390" i="13"/>
  <c r="L389" i="13" s="1"/>
  <c r="K389" i="13"/>
  <c r="J389" i="13"/>
  <c r="P388" i="13"/>
  <c r="L388" i="13"/>
  <c r="L387" i="13" s="1"/>
  <c r="K387" i="13"/>
  <c r="J387" i="13"/>
  <c r="P386" i="13"/>
  <c r="L386" i="13"/>
  <c r="N386" i="13" s="1"/>
  <c r="N385" i="13" s="1"/>
  <c r="M385" i="13"/>
  <c r="M383" i="13" s="1"/>
  <c r="K385" i="13"/>
  <c r="K383" i="13" s="1"/>
  <c r="J385" i="13"/>
  <c r="J383" i="13" s="1"/>
  <c r="I385" i="13"/>
  <c r="I383" i="13" s="1"/>
  <c r="H385" i="13"/>
  <c r="H383" i="13" s="1"/>
  <c r="G385" i="13"/>
  <c r="L384" i="13"/>
  <c r="N384" i="13" s="1"/>
  <c r="G384" i="13"/>
  <c r="J382" i="13"/>
  <c r="L382" i="13" s="1"/>
  <c r="G382" i="13"/>
  <c r="L381" i="13"/>
  <c r="N381" i="13" s="1"/>
  <c r="G381" i="13"/>
  <c r="M380" i="13"/>
  <c r="K380" i="13"/>
  <c r="I380" i="13"/>
  <c r="H380" i="13"/>
  <c r="P379" i="13"/>
  <c r="L379" i="13"/>
  <c r="N379" i="13" s="1"/>
  <c r="N378" i="13" s="1"/>
  <c r="G379" i="13"/>
  <c r="G378" i="13" s="1"/>
  <c r="M378" i="13"/>
  <c r="K378" i="13"/>
  <c r="J378" i="13"/>
  <c r="I378" i="13"/>
  <c r="H378" i="13"/>
  <c r="L377" i="13"/>
  <c r="N377" i="13" s="1"/>
  <c r="N376" i="13" s="1"/>
  <c r="M376" i="13"/>
  <c r="K376" i="13"/>
  <c r="J376" i="13"/>
  <c r="I376" i="13"/>
  <c r="H376" i="13"/>
  <c r="G376" i="13"/>
  <c r="P375" i="13"/>
  <c r="L375" i="13"/>
  <c r="M373" i="13"/>
  <c r="I373" i="13"/>
  <c r="H373" i="13"/>
  <c r="G373" i="13"/>
  <c r="L372" i="13"/>
  <c r="N372" i="13" s="1"/>
  <c r="L371" i="13"/>
  <c r="N371" i="13" s="1"/>
  <c r="G371" i="13"/>
  <c r="G370" i="13" s="1"/>
  <c r="M370" i="13"/>
  <c r="K370" i="13"/>
  <c r="J370" i="13"/>
  <c r="I370" i="13"/>
  <c r="H370" i="13"/>
  <c r="L369" i="13"/>
  <c r="N369" i="13" s="1"/>
  <c r="N368" i="13" s="1"/>
  <c r="G369" i="13"/>
  <c r="M368" i="13"/>
  <c r="K368" i="13"/>
  <c r="J368" i="13"/>
  <c r="I368" i="13"/>
  <c r="H368" i="13"/>
  <c r="G368" i="13"/>
  <c r="L367" i="13"/>
  <c r="N367" i="13" s="1"/>
  <c r="N366" i="13" s="1"/>
  <c r="M366" i="13"/>
  <c r="K366" i="13"/>
  <c r="J366" i="13"/>
  <c r="I366" i="13"/>
  <c r="H366" i="13"/>
  <c r="G366" i="13"/>
  <c r="L365" i="13"/>
  <c r="N365" i="13" s="1"/>
  <c r="N364" i="13" s="1"/>
  <c r="G365" i="13"/>
  <c r="G364" i="13" s="1"/>
  <c r="M364" i="13"/>
  <c r="K364" i="13"/>
  <c r="J364" i="13"/>
  <c r="I364" i="13"/>
  <c r="H364" i="13"/>
  <c r="P363" i="13"/>
  <c r="L363" i="13"/>
  <c r="N363" i="13" s="1"/>
  <c r="L362" i="13"/>
  <c r="N362" i="13" s="1"/>
  <c r="M361" i="13"/>
  <c r="K361" i="13"/>
  <c r="J361" i="13"/>
  <c r="I361" i="13"/>
  <c r="H361" i="13"/>
  <c r="G361" i="13"/>
  <c r="L360" i="13"/>
  <c r="N360" i="13" s="1"/>
  <c r="N359" i="13" s="1"/>
  <c r="M359" i="13"/>
  <c r="K359" i="13"/>
  <c r="J359" i="13"/>
  <c r="I359" i="13"/>
  <c r="H359" i="13"/>
  <c r="G359" i="13"/>
  <c r="J357" i="13"/>
  <c r="L357" i="13" s="1"/>
  <c r="M356" i="13"/>
  <c r="K356" i="13"/>
  <c r="I356" i="13"/>
  <c r="H356" i="13"/>
  <c r="G356" i="13"/>
  <c r="O354" i="13"/>
  <c r="L354" i="13"/>
  <c r="M352" i="13"/>
  <c r="M351" i="13" s="1"/>
  <c r="M350" i="13" s="1"/>
  <c r="L352" i="13"/>
  <c r="L351" i="13" s="1"/>
  <c r="L350" i="13" s="1"/>
  <c r="G352" i="13"/>
  <c r="G351" i="13" s="1"/>
  <c r="G350" i="13" s="1"/>
  <c r="K351" i="13"/>
  <c r="J351" i="13"/>
  <c r="J350" i="13" s="1"/>
  <c r="I351" i="13"/>
  <c r="I350" i="13" s="1"/>
  <c r="H351" i="13"/>
  <c r="H350" i="13" s="1"/>
  <c r="K350" i="13"/>
  <c r="J349" i="13"/>
  <c r="L349" i="13" s="1"/>
  <c r="M348" i="13"/>
  <c r="K348" i="13"/>
  <c r="I348" i="13"/>
  <c r="H348" i="13"/>
  <c r="G348" i="13"/>
  <c r="L347" i="13"/>
  <c r="N347" i="13" s="1"/>
  <c r="N346" i="13" s="1"/>
  <c r="G347" i="13"/>
  <c r="G346" i="13" s="1"/>
  <c r="M346" i="13"/>
  <c r="K346" i="13"/>
  <c r="J346" i="13"/>
  <c r="I346" i="13"/>
  <c r="H346" i="13"/>
  <c r="P344" i="13"/>
  <c r="L344" i="13"/>
  <c r="L343" i="13" s="1"/>
  <c r="K343" i="13"/>
  <c r="J343" i="13"/>
  <c r="L342" i="13"/>
  <c r="N342" i="13" s="1"/>
  <c r="N341" i="13" s="1"/>
  <c r="G342" i="13"/>
  <c r="M341" i="13"/>
  <c r="K341" i="13"/>
  <c r="J341" i="13"/>
  <c r="I341" i="13"/>
  <c r="H341" i="13"/>
  <c r="G341" i="13"/>
  <c r="L340" i="13"/>
  <c r="G340" i="13"/>
  <c r="M339" i="13"/>
  <c r="M338" i="13" s="1"/>
  <c r="M781" i="13" s="1"/>
  <c r="K339" i="13"/>
  <c r="J339" i="13"/>
  <c r="I339" i="13"/>
  <c r="I338" i="13" s="1"/>
  <c r="I781" i="13" s="1"/>
  <c r="H339" i="13"/>
  <c r="G339" i="13"/>
  <c r="P336" i="13"/>
  <c r="L336" i="13"/>
  <c r="N336" i="13" s="1"/>
  <c r="N335" i="13" s="1"/>
  <c r="N334" i="13" s="1"/>
  <c r="N333" i="13" s="1"/>
  <c r="M335" i="13"/>
  <c r="M334" i="13" s="1"/>
  <c r="M333" i="13" s="1"/>
  <c r="L335" i="13"/>
  <c r="L334" i="13" s="1"/>
  <c r="L333" i="13" s="1"/>
  <c r="K335" i="13"/>
  <c r="K334" i="13" s="1"/>
  <c r="K333" i="13" s="1"/>
  <c r="J335" i="13"/>
  <c r="J334" i="13" s="1"/>
  <c r="J333" i="13" s="1"/>
  <c r="I335" i="13"/>
  <c r="I334" i="13" s="1"/>
  <c r="I333" i="13" s="1"/>
  <c r="H335" i="13"/>
  <c r="H334" i="13" s="1"/>
  <c r="H333" i="13" s="1"/>
  <c r="G335" i="13"/>
  <c r="G334" i="13" s="1"/>
  <c r="G333" i="13" s="1"/>
  <c r="J332" i="13"/>
  <c r="L332" i="13" s="1"/>
  <c r="M331" i="13"/>
  <c r="K331" i="13"/>
  <c r="I331" i="13"/>
  <c r="H331" i="13"/>
  <c r="G331" i="13"/>
  <c r="L330" i="13"/>
  <c r="N330" i="13" s="1"/>
  <c r="N329" i="13" s="1"/>
  <c r="N328" i="13" s="1"/>
  <c r="M329" i="13"/>
  <c r="K329" i="13"/>
  <c r="K328" i="13" s="1"/>
  <c r="K327" i="13" s="1"/>
  <c r="J329" i="13"/>
  <c r="J328" i="13" s="1"/>
  <c r="I329" i="13"/>
  <c r="H329" i="13"/>
  <c r="G329" i="13"/>
  <c r="G328" i="13" s="1"/>
  <c r="M328" i="13"/>
  <c r="M327" i="13" s="1"/>
  <c r="I328" i="13"/>
  <c r="H328" i="13"/>
  <c r="L324" i="13"/>
  <c r="L323" i="13" s="1"/>
  <c r="K323" i="13"/>
  <c r="J323" i="13"/>
  <c r="L322" i="13"/>
  <c r="L321" i="13" s="1"/>
  <c r="K321" i="13"/>
  <c r="J321" i="13"/>
  <c r="I321" i="13"/>
  <c r="H321" i="13"/>
  <c r="G321" i="13"/>
  <c r="J316" i="13"/>
  <c r="K315" i="13"/>
  <c r="P314" i="13"/>
  <c r="L314" i="13"/>
  <c r="L313" i="13" s="1"/>
  <c r="K313" i="13"/>
  <c r="J313" i="13"/>
  <c r="L312" i="13"/>
  <c r="L311" i="13" s="1"/>
  <c r="K311" i="13"/>
  <c r="J311" i="13"/>
  <c r="L307" i="13"/>
  <c r="P307" i="13" s="1"/>
  <c r="M306" i="13"/>
  <c r="M305" i="13" s="1"/>
  <c r="M790" i="13" s="1"/>
  <c r="K306" i="13"/>
  <c r="K305" i="13" s="1"/>
  <c r="J306" i="13"/>
  <c r="J305" i="13" s="1"/>
  <c r="I306" i="13"/>
  <c r="H306" i="13"/>
  <c r="H305" i="13" s="1"/>
  <c r="I305" i="13"/>
  <c r="I790" i="13" s="1"/>
  <c r="G305" i="13"/>
  <c r="G790" i="13" s="1"/>
  <c r="G303" i="13"/>
  <c r="P302" i="13"/>
  <c r="L302" i="13"/>
  <c r="N302" i="13" s="1"/>
  <c r="N301" i="13" s="1"/>
  <c r="N300" i="13" s="1"/>
  <c r="N789" i="13" s="1"/>
  <c r="M301" i="13"/>
  <c r="K301" i="13"/>
  <c r="J301" i="13"/>
  <c r="J300" i="13" s="1"/>
  <c r="I301" i="13"/>
  <c r="I300" i="13" s="1"/>
  <c r="I789" i="13" s="1"/>
  <c r="H301" i="13"/>
  <c r="G301" i="13"/>
  <c r="M300" i="13"/>
  <c r="M789" i="13" s="1"/>
  <c r="K300" i="13"/>
  <c r="H300" i="13"/>
  <c r="H789" i="13" s="1"/>
  <c r="G300" i="13"/>
  <c r="G789" i="13" s="1"/>
  <c r="L299" i="13"/>
  <c r="N299" i="13" s="1"/>
  <c r="N298" i="13" s="1"/>
  <c r="M298" i="13"/>
  <c r="K298" i="13"/>
  <c r="J298" i="13"/>
  <c r="I298" i="13"/>
  <c r="H298" i="13"/>
  <c r="G298" i="13"/>
  <c r="L297" i="13"/>
  <c r="N297" i="13" s="1"/>
  <c r="N296" i="13" s="1"/>
  <c r="M296" i="13"/>
  <c r="K296" i="13"/>
  <c r="J296" i="13"/>
  <c r="I296" i="13"/>
  <c r="H296" i="13"/>
  <c r="G296" i="13"/>
  <c r="M295" i="13"/>
  <c r="M294" i="13" s="1"/>
  <c r="L295" i="13"/>
  <c r="K294" i="13"/>
  <c r="J294" i="13"/>
  <c r="I294" i="13"/>
  <c r="H294" i="13"/>
  <c r="G294" i="13"/>
  <c r="M291" i="13"/>
  <c r="L291" i="13"/>
  <c r="L290" i="13" s="1"/>
  <c r="M290" i="13"/>
  <c r="K290" i="13"/>
  <c r="J290" i="13"/>
  <c r="I290" i="13"/>
  <c r="H290" i="13"/>
  <c r="G290" i="13"/>
  <c r="L289" i="13"/>
  <c r="M288" i="13"/>
  <c r="I288" i="13"/>
  <c r="H288" i="13"/>
  <c r="G288" i="13"/>
  <c r="L285" i="13"/>
  <c r="N285" i="13" s="1"/>
  <c r="N284" i="13" s="1"/>
  <c r="M284" i="13"/>
  <c r="K284" i="13"/>
  <c r="K283" i="13" s="1"/>
  <c r="K282" i="13" s="1"/>
  <c r="J284" i="13"/>
  <c r="J283" i="13" s="1"/>
  <c r="J282" i="13" s="1"/>
  <c r="P281" i="13"/>
  <c r="L281" i="13"/>
  <c r="L280" i="13" s="1"/>
  <c r="K280" i="13"/>
  <c r="J280" i="13"/>
  <c r="L279" i="13"/>
  <c r="L278" i="13" s="1"/>
  <c r="P278" i="13"/>
  <c r="K278" i="13"/>
  <c r="J278" i="13"/>
  <c r="L277" i="13"/>
  <c r="L276" i="13" s="1"/>
  <c r="K276" i="13"/>
  <c r="L273" i="13"/>
  <c r="N273" i="13" s="1"/>
  <c r="N272" i="13" s="1"/>
  <c r="M272" i="13"/>
  <c r="K272" i="13"/>
  <c r="J272" i="13"/>
  <c r="I272" i="13"/>
  <c r="H272" i="13"/>
  <c r="G272" i="13"/>
  <c r="L271" i="13"/>
  <c r="G271" i="13"/>
  <c r="G270" i="13" s="1"/>
  <c r="G269" i="13" s="1"/>
  <c r="G268" i="13" s="1"/>
  <c r="G267" i="13" s="1"/>
  <c r="M270" i="13"/>
  <c r="M269" i="13" s="1"/>
  <c r="K270" i="13"/>
  <c r="K269" i="13" s="1"/>
  <c r="K268" i="13" s="1"/>
  <c r="K267" i="13" s="1"/>
  <c r="J270" i="13"/>
  <c r="I270" i="13"/>
  <c r="I269" i="13" s="1"/>
  <c r="I268" i="13" s="1"/>
  <c r="I267" i="13" s="1"/>
  <c r="H270" i="13"/>
  <c r="H269" i="13" s="1"/>
  <c r="H268" i="13" s="1"/>
  <c r="H267" i="13" s="1"/>
  <c r="J269" i="13"/>
  <c r="J268" i="13" s="1"/>
  <c r="J267" i="13" s="1"/>
  <c r="L266" i="13"/>
  <c r="N266" i="13" s="1"/>
  <c r="N265" i="13" s="1"/>
  <c r="M265" i="13"/>
  <c r="K265" i="13"/>
  <c r="J265" i="13"/>
  <c r="I265" i="13"/>
  <c r="H265" i="13"/>
  <c r="L264" i="13"/>
  <c r="N264" i="13" s="1"/>
  <c r="N263" i="13" s="1"/>
  <c r="M263" i="13"/>
  <c r="L263" i="13"/>
  <c r="K263" i="13"/>
  <c r="J263" i="13"/>
  <c r="I263" i="13"/>
  <c r="H263" i="13"/>
  <c r="M262" i="13"/>
  <c r="M256" i="13" s="1"/>
  <c r="L255" i="13"/>
  <c r="N255" i="13" s="1"/>
  <c r="N254" i="13" s="1"/>
  <c r="N247" i="13" s="1"/>
  <c r="M254" i="13"/>
  <c r="M247" i="13" s="1"/>
  <c r="K254" i="13"/>
  <c r="J254" i="13"/>
  <c r="I254" i="13"/>
  <c r="I247" i="13" s="1"/>
  <c r="H254" i="13"/>
  <c r="H247" i="13" s="1"/>
  <c r="G254" i="13"/>
  <c r="G247" i="13" s="1"/>
  <c r="L251" i="13"/>
  <c r="L250" i="13" s="1"/>
  <c r="L248" i="13" s="1"/>
  <c r="K250" i="13"/>
  <c r="K248" i="13" s="1"/>
  <c r="N244" i="13"/>
  <c r="N243" i="13" s="1"/>
  <c r="N752" i="13" s="1"/>
  <c r="M244" i="13"/>
  <c r="I244" i="13"/>
  <c r="H244" i="13"/>
  <c r="G244" i="13"/>
  <c r="G243" i="13" s="1"/>
  <c r="G753" i="13" s="1"/>
  <c r="L241" i="13"/>
  <c r="N241" i="13" s="1"/>
  <c r="N240" i="13" s="1"/>
  <c r="M240" i="13"/>
  <c r="K240" i="13"/>
  <c r="J240" i="13"/>
  <c r="I240" i="13"/>
  <c r="H240" i="13"/>
  <c r="G240" i="13"/>
  <c r="L239" i="13"/>
  <c r="N239" i="13" s="1"/>
  <c r="N238" i="13" s="1"/>
  <c r="M238" i="13"/>
  <c r="K238" i="13"/>
  <c r="J238" i="13"/>
  <c r="I238" i="13"/>
  <c r="H238" i="13"/>
  <c r="G238" i="13"/>
  <c r="L235" i="13"/>
  <c r="N235" i="13" s="1"/>
  <c r="N234" i="13" s="1"/>
  <c r="M234" i="13"/>
  <c r="M232" i="13" s="1"/>
  <c r="M231" i="13" s="1"/>
  <c r="M230" i="13" s="1"/>
  <c r="K234" i="13"/>
  <c r="K232" i="13" s="1"/>
  <c r="K231" i="13" s="1"/>
  <c r="J234" i="13"/>
  <c r="J232" i="13" s="1"/>
  <c r="J231" i="13" s="1"/>
  <c r="I234" i="13"/>
  <c r="H234" i="13"/>
  <c r="G234" i="13"/>
  <c r="P233" i="13"/>
  <c r="I232" i="13"/>
  <c r="I231" i="13" s="1"/>
  <c r="I230" i="13" s="1"/>
  <c r="H232" i="13"/>
  <c r="G232" i="13"/>
  <c r="G231" i="13" s="1"/>
  <c r="G230" i="13" s="1"/>
  <c r="H231" i="13"/>
  <c r="H230" i="13" s="1"/>
  <c r="M229" i="13"/>
  <c r="M228" i="13" s="1"/>
  <c r="M227" i="13" s="1"/>
  <c r="M226" i="13" s="1"/>
  <c r="M742" i="13" s="1"/>
  <c r="L229" i="13"/>
  <c r="G229" i="13"/>
  <c r="G228" i="13" s="1"/>
  <c r="G227" i="13" s="1"/>
  <c r="G226" i="13" s="1"/>
  <c r="G742" i="13" s="1"/>
  <c r="L228" i="13"/>
  <c r="L227" i="13" s="1"/>
  <c r="L226" i="13" s="1"/>
  <c r="L742" i="13" s="1"/>
  <c r="I18" i="12" s="1"/>
  <c r="K228" i="13"/>
  <c r="K227" i="13" s="1"/>
  <c r="K226" i="13" s="1"/>
  <c r="K742" i="13" s="1"/>
  <c r="H18" i="12" s="1"/>
  <c r="J228" i="13"/>
  <c r="J227" i="13" s="1"/>
  <c r="J226" i="13" s="1"/>
  <c r="J742" i="13" s="1"/>
  <c r="G18" i="12" s="1"/>
  <c r="I228" i="13"/>
  <c r="I227" i="13" s="1"/>
  <c r="I226" i="13" s="1"/>
  <c r="I742" i="13" s="1"/>
  <c r="H228" i="13"/>
  <c r="H227" i="13" s="1"/>
  <c r="H226" i="13" s="1"/>
  <c r="H742" i="13" s="1"/>
  <c r="L225" i="13"/>
  <c r="P225" i="13"/>
  <c r="L224" i="13"/>
  <c r="L223" i="13" s="1"/>
  <c r="K224" i="13"/>
  <c r="K223" i="13" s="1"/>
  <c r="K222" i="13" s="1"/>
  <c r="K741" i="13" s="1"/>
  <c r="H17" i="12" s="1"/>
  <c r="J224" i="13"/>
  <c r="J223" i="13" s="1"/>
  <c r="J222" i="13" s="1"/>
  <c r="J741" i="13" s="1"/>
  <c r="G17" i="12" s="1"/>
  <c r="L222" i="13"/>
  <c r="L741" i="13" s="1"/>
  <c r="I17" i="12" s="1"/>
  <c r="L221" i="13"/>
  <c r="M220" i="13"/>
  <c r="K220" i="13"/>
  <c r="J220" i="13"/>
  <c r="J219" i="13" s="1"/>
  <c r="J218" i="13" s="1"/>
  <c r="J740" i="13" s="1"/>
  <c r="I220" i="13"/>
  <c r="I219" i="13" s="1"/>
  <c r="I218" i="13" s="1"/>
  <c r="H220" i="13"/>
  <c r="G220" i="13"/>
  <c r="M219" i="13"/>
  <c r="M218" i="13" s="1"/>
  <c r="K219" i="13"/>
  <c r="K218" i="13" s="1"/>
  <c r="H219" i="13"/>
  <c r="H218" i="13" s="1"/>
  <c r="H740" i="13" s="1"/>
  <c r="G219" i="13"/>
  <c r="G218" i="13" s="1"/>
  <c r="M217" i="13"/>
  <c r="M215" i="13" s="1"/>
  <c r="M214" i="13" s="1"/>
  <c r="M738" i="13" s="1"/>
  <c r="L217" i="13"/>
  <c r="P217" i="13" s="1"/>
  <c r="G217" i="13"/>
  <c r="G215" i="13" s="1"/>
  <c r="G214" i="13" s="1"/>
  <c r="G738" i="13" s="1"/>
  <c r="L216" i="13"/>
  <c r="N216" i="13" s="1"/>
  <c r="K215" i="13"/>
  <c r="J215" i="13"/>
  <c r="J214" i="13" s="1"/>
  <c r="J738" i="13" s="1"/>
  <c r="G14" i="12" s="1"/>
  <c r="I215" i="13"/>
  <c r="I214" i="13" s="1"/>
  <c r="I738" i="13" s="1"/>
  <c r="H215" i="13"/>
  <c r="H214" i="13" s="1"/>
  <c r="H738" i="13" s="1"/>
  <c r="K214" i="13"/>
  <c r="K738" i="13" s="1"/>
  <c r="L213" i="13"/>
  <c r="N213" i="13" s="1"/>
  <c r="N212" i="13" s="1"/>
  <c r="M212" i="13"/>
  <c r="K212" i="13"/>
  <c r="J212" i="13"/>
  <c r="J211" i="13"/>
  <c r="L211" i="13" s="1"/>
  <c r="M210" i="13"/>
  <c r="K210" i="13"/>
  <c r="I210" i="13"/>
  <c r="H210" i="13"/>
  <c r="M209" i="13"/>
  <c r="L209" i="13"/>
  <c r="M208" i="13"/>
  <c r="K208" i="13"/>
  <c r="J208" i="13"/>
  <c r="L207" i="13"/>
  <c r="N207" i="13" s="1"/>
  <c r="N206" i="13" s="1"/>
  <c r="M206" i="13"/>
  <c r="K206" i="13"/>
  <c r="J206" i="13"/>
  <c r="I206" i="13"/>
  <c r="H206" i="13"/>
  <c r="G206" i="13"/>
  <c r="G205" i="13" s="1"/>
  <c r="J202" i="13"/>
  <c r="L202" i="13" s="1"/>
  <c r="L201" i="13"/>
  <c r="N201" i="13" s="1"/>
  <c r="L200" i="13"/>
  <c r="N200" i="13" s="1"/>
  <c r="N199" i="13" s="1"/>
  <c r="G200" i="13"/>
  <c r="G199" i="13" s="1"/>
  <c r="G198" i="13" s="1"/>
  <c r="M199" i="13"/>
  <c r="M198" i="13" s="1"/>
  <c r="M193" i="13" s="1"/>
  <c r="K199" i="13"/>
  <c r="K198" i="13" s="1"/>
  <c r="K193" i="13" s="1"/>
  <c r="J199" i="13"/>
  <c r="I199" i="13"/>
  <c r="I198" i="13" s="1"/>
  <c r="I193" i="13" s="1"/>
  <c r="H199" i="13"/>
  <c r="H198" i="13" s="1"/>
  <c r="H193" i="13" s="1"/>
  <c r="P197" i="13"/>
  <c r="L197" i="13"/>
  <c r="N197" i="13" s="1"/>
  <c r="G197" i="13"/>
  <c r="L192" i="13"/>
  <c r="P191" i="13"/>
  <c r="L191" i="13"/>
  <c r="N191" i="13" s="1"/>
  <c r="N190" i="13" s="1"/>
  <c r="G191" i="13"/>
  <c r="M190" i="13"/>
  <c r="K190" i="13"/>
  <c r="J190" i="13"/>
  <c r="I190" i="13"/>
  <c r="H190" i="13"/>
  <c r="G190" i="13"/>
  <c r="L185" i="13"/>
  <c r="N185" i="13" s="1"/>
  <c r="N184" i="13" s="1"/>
  <c r="M184" i="13"/>
  <c r="K184" i="13"/>
  <c r="J184" i="13"/>
  <c r="I184" i="13"/>
  <c r="H184" i="13"/>
  <c r="G184" i="13"/>
  <c r="M183" i="13"/>
  <c r="K183" i="13"/>
  <c r="J183" i="13"/>
  <c r="G183" i="13"/>
  <c r="M182" i="13"/>
  <c r="K182" i="13"/>
  <c r="J182" i="13"/>
  <c r="I182" i="13"/>
  <c r="H182" i="13"/>
  <c r="G182" i="13"/>
  <c r="L181" i="13"/>
  <c r="N181" i="13" s="1"/>
  <c r="N180" i="13" s="1"/>
  <c r="M180" i="13"/>
  <c r="K180" i="13"/>
  <c r="J180" i="13"/>
  <c r="I180" i="13"/>
  <c r="H180" i="13"/>
  <c r="G180" i="13"/>
  <c r="P178" i="13"/>
  <c r="L178" i="13"/>
  <c r="N178" i="13" s="1"/>
  <c r="L177" i="13"/>
  <c r="N177" i="13" s="1"/>
  <c r="G177" i="13"/>
  <c r="G176" i="13" s="1"/>
  <c r="G175" i="13" s="1"/>
  <c r="M176" i="13"/>
  <c r="M175" i="13" s="1"/>
  <c r="K176" i="13"/>
  <c r="K175" i="13" s="1"/>
  <c r="J176" i="13"/>
  <c r="I176" i="13"/>
  <c r="I175" i="13" s="1"/>
  <c r="H176" i="13"/>
  <c r="H175" i="13" s="1"/>
  <c r="J175" i="13"/>
  <c r="L173" i="13"/>
  <c r="N173" i="13" s="1"/>
  <c r="N172" i="13" s="1"/>
  <c r="M172" i="13"/>
  <c r="K172" i="13"/>
  <c r="J172" i="13"/>
  <c r="I172" i="13"/>
  <c r="H172" i="13"/>
  <c r="G172" i="13"/>
  <c r="L171" i="13"/>
  <c r="N171" i="13" s="1"/>
  <c r="N170" i="13" s="1"/>
  <c r="M170" i="13"/>
  <c r="K170" i="13"/>
  <c r="J170" i="13"/>
  <c r="I170" i="13"/>
  <c r="H170" i="13"/>
  <c r="G170" i="13"/>
  <c r="L169" i="13"/>
  <c r="P169" i="13" s="1"/>
  <c r="G169" i="13"/>
  <c r="G168" i="13" s="1"/>
  <c r="G167" i="13" s="1"/>
  <c r="M168" i="13"/>
  <c r="M167" i="13" s="1"/>
  <c r="K168" i="13"/>
  <c r="K167" i="13" s="1"/>
  <c r="J168" i="13"/>
  <c r="J167" i="13" s="1"/>
  <c r="I168" i="13"/>
  <c r="H168" i="13"/>
  <c r="H167" i="13" s="1"/>
  <c r="I167" i="13"/>
  <c r="P166" i="13"/>
  <c r="L166" i="13"/>
  <c r="L165" i="13" s="1"/>
  <c r="K165" i="13"/>
  <c r="J165" i="13"/>
  <c r="L164" i="13"/>
  <c r="N164" i="13" s="1"/>
  <c r="G164" i="13"/>
  <c r="M163" i="13"/>
  <c r="M162" i="13" s="1"/>
  <c r="M161" i="13" s="1"/>
  <c r="L163" i="13"/>
  <c r="K162" i="13"/>
  <c r="J162" i="13"/>
  <c r="J161" i="13" s="1"/>
  <c r="I162" i="13"/>
  <c r="I161" i="13" s="1"/>
  <c r="H162" i="13"/>
  <c r="G162" i="13"/>
  <c r="K161" i="13"/>
  <c r="H161" i="13"/>
  <c r="G161" i="13"/>
  <c r="N157" i="13"/>
  <c r="L156" i="13"/>
  <c r="P156" i="13" s="1"/>
  <c r="M155" i="13"/>
  <c r="M154" i="13" s="1"/>
  <c r="M153" i="13" s="1"/>
  <c r="J154" i="13"/>
  <c r="J153" i="13" s="1"/>
  <c r="I155" i="13"/>
  <c r="I154" i="13" s="1"/>
  <c r="I153" i="13" s="1"/>
  <c r="H155" i="13"/>
  <c r="G155" i="13"/>
  <c r="G154" i="13" s="1"/>
  <c r="G153" i="13" s="1"/>
  <c r="H154" i="13"/>
  <c r="H153" i="13" s="1"/>
  <c r="M150" i="13"/>
  <c r="M149" i="13" s="1"/>
  <c r="L150" i="13"/>
  <c r="G150" i="13"/>
  <c r="G149" i="13" s="1"/>
  <c r="K149" i="13"/>
  <c r="J149" i="13"/>
  <c r="I149" i="13"/>
  <c r="H149" i="13"/>
  <c r="L148" i="13"/>
  <c r="N148" i="13" s="1"/>
  <c r="N147" i="13" s="1"/>
  <c r="N146" i="13" s="1"/>
  <c r="M147" i="13"/>
  <c r="K147" i="13"/>
  <c r="K146" i="13" s="1"/>
  <c r="J147" i="13"/>
  <c r="J146" i="13" s="1"/>
  <c r="J145" i="13" s="1"/>
  <c r="I147" i="13"/>
  <c r="I146" i="13" s="1"/>
  <c r="H147" i="13"/>
  <c r="G147" i="13"/>
  <c r="G146" i="13" s="1"/>
  <c r="M146" i="13"/>
  <c r="H146" i="13"/>
  <c r="L144" i="13"/>
  <c r="N144" i="13" s="1"/>
  <c r="N143" i="13" s="1"/>
  <c r="M143" i="13"/>
  <c r="K143" i="13"/>
  <c r="J143" i="13"/>
  <c r="I143" i="13"/>
  <c r="H143" i="13"/>
  <c r="G143" i="13"/>
  <c r="L142" i="13"/>
  <c r="N142" i="13" s="1"/>
  <c r="N141" i="13" s="1"/>
  <c r="M141" i="13"/>
  <c r="K141" i="13"/>
  <c r="J141" i="13"/>
  <c r="I141" i="13"/>
  <c r="H141" i="13"/>
  <c r="G141" i="13"/>
  <c r="L140" i="13"/>
  <c r="N140" i="13" s="1"/>
  <c r="N139" i="13" s="1"/>
  <c r="M139" i="13"/>
  <c r="K139" i="13"/>
  <c r="J139" i="13"/>
  <c r="L138" i="13"/>
  <c r="N138" i="13" s="1"/>
  <c r="N137" i="13" s="1"/>
  <c r="M137" i="13"/>
  <c r="K137" i="13"/>
  <c r="K136" i="13" s="1"/>
  <c r="J137" i="13"/>
  <c r="I137" i="13"/>
  <c r="I136" i="13" s="1"/>
  <c r="H137" i="13"/>
  <c r="H136" i="13" s="1"/>
  <c r="G137" i="13"/>
  <c r="G136" i="13" s="1"/>
  <c r="L129" i="13"/>
  <c r="N129" i="13" s="1"/>
  <c r="L128" i="13"/>
  <c r="M127" i="13"/>
  <c r="M126" i="13" s="1"/>
  <c r="M125" i="13" s="1"/>
  <c r="K126" i="13"/>
  <c r="K125" i="13" s="1"/>
  <c r="J126" i="13"/>
  <c r="J125" i="13" s="1"/>
  <c r="I126" i="13"/>
  <c r="I125" i="13" s="1"/>
  <c r="H126" i="13"/>
  <c r="H125" i="13" s="1"/>
  <c r="G126" i="13"/>
  <c r="G125" i="13" s="1"/>
  <c r="S124" i="13"/>
  <c r="P124" i="13"/>
  <c r="L124" i="13"/>
  <c r="P123" i="13"/>
  <c r="L123" i="13"/>
  <c r="L122" i="13"/>
  <c r="S35" i="13" s="1"/>
  <c r="L121" i="13"/>
  <c r="L120" i="13"/>
  <c r="P119" i="13"/>
  <c r="L118" i="13"/>
  <c r="M117" i="13"/>
  <c r="L117" i="13"/>
  <c r="P117" i="13" s="1"/>
  <c r="G117" i="13"/>
  <c r="O116" i="13"/>
  <c r="M116" i="13"/>
  <c r="M115" i="13" s="1"/>
  <c r="M114" i="13" s="1"/>
  <c r="L116" i="13"/>
  <c r="G116" i="13"/>
  <c r="J115" i="13"/>
  <c r="J114" i="13" s="1"/>
  <c r="I115" i="13"/>
  <c r="I114" i="13" s="1"/>
  <c r="H115" i="13"/>
  <c r="H114" i="13" s="1"/>
  <c r="G115" i="13"/>
  <c r="G114" i="13" s="1"/>
  <c r="L113" i="13"/>
  <c r="M112" i="13"/>
  <c r="K112" i="13"/>
  <c r="I112" i="13"/>
  <c r="H112" i="13"/>
  <c r="G112" i="13"/>
  <c r="L110" i="13"/>
  <c r="N110" i="13" s="1"/>
  <c r="G110" i="13"/>
  <c r="M109" i="13"/>
  <c r="M108" i="13" s="1"/>
  <c r="M107" i="13" s="1"/>
  <c r="M106" i="13" s="1"/>
  <c r="M763" i="13" s="1"/>
  <c r="L109" i="13"/>
  <c r="G109" i="13"/>
  <c r="K108" i="13"/>
  <c r="K107" i="13" s="1"/>
  <c r="K106" i="13" s="1"/>
  <c r="J108" i="13"/>
  <c r="J107" i="13" s="1"/>
  <c r="J106" i="13" s="1"/>
  <c r="I108" i="13"/>
  <c r="I107" i="13" s="1"/>
  <c r="I106" i="13" s="1"/>
  <c r="H108" i="13"/>
  <c r="H107" i="13" s="1"/>
  <c r="H106" i="13" s="1"/>
  <c r="L104" i="13"/>
  <c r="N104" i="13" s="1"/>
  <c r="N103" i="13" s="1"/>
  <c r="N102" i="13" s="1"/>
  <c r="G104" i="13"/>
  <c r="G103" i="13" s="1"/>
  <c r="G102" i="13" s="1"/>
  <c r="M103" i="13"/>
  <c r="M102" i="13" s="1"/>
  <c r="K103" i="13"/>
  <c r="K102" i="13" s="1"/>
  <c r="J103" i="13"/>
  <c r="I103" i="13"/>
  <c r="I102" i="13" s="1"/>
  <c r="H103" i="13"/>
  <c r="H102" i="13" s="1"/>
  <c r="J102" i="13"/>
  <c r="J101" i="13"/>
  <c r="L101" i="13" s="1"/>
  <c r="N101" i="13" s="1"/>
  <c r="N100" i="13" s="1"/>
  <c r="G101" i="13"/>
  <c r="M100" i="13"/>
  <c r="K100" i="13"/>
  <c r="I100" i="13"/>
  <c r="H100" i="13"/>
  <c r="G100" i="13"/>
  <c r="K96" i="13"/>
  <c r="L96" i="13" s="1"/>
  <c r="L95" i="13" s="1"/>
  <c r="J95" i="13"/>
  <c r="L94" i="13"/>
  <c r="L93" i="13" s="1"/>
  <c r="K93" i="13"/>
  <c r="J93" i="13"/>
  <c r="L92" i="13"/>
  <c r="L91" i="13" s="1"/>
  <c r="K91" i="13"/>
  <c r="J91" i="13"/>
  <c r="L90" i="13"/>
  <c r="L89" i="13" s="1"/>
  <c r="K89" i="13"/>
  <c r="J89" i="13"/>
  <c r="L88" i="13"/>
  <c r="N88" i="13" s="1"/>
  <c r="N87" i="13" s="1"/>
  <c r="M87" i="13"/>
  <c r="K87" i="13"/>
  <c r="J87" i="13"/>
  <c r="L86" i="13"/>
  <c r="N86" i="13" s="1"/>
  <c r="N85" i="13" s="1"/>
  <c r="N84" i="13" s="1"/>
  <c r="M85" i="13"/>
  <c r="M84" i="13" s="1"/>
  <c r="K85" i="13"/>
  <c r="J85" i="13"/>
  <c r="I85" i="13"/>
  <c r="I84" i="13" s="1"/>
  <c r="I83" i="13" s="1"/>
  <c r="I779" i="13" s="1"/>
  <c r="H85" i="13"/>
  <c r="H84" i="13" s="1"/>
  <c r="H83" i="13" s="1"/>
  <c r="H779" i="13" s="1"/>
  <c r="G85" i="13"/>
  <c r="K84" i="13"/>
  <c r="J84" i="13"/>
  <c r="G84" i="13"/>
  <c r="G83" i="13" s="1"/>
  <c r="G779" i="13" s="1"/>
  <c r="L82" i="13"/>
  <c r="L81" i="13" s="1"/>
  <c r="K81" i="13"/>
  <c r="J81" i="13"/>
  <c r="L80" i="13"/>
  <c r="L79" i="13" s="1"/>
  <c r="K79" i="13"/>
  <c r="J79" i="13"/>
  <c r="L78" i="13"/>
  <c r="L77" i="13" s="1"/>
  <c r="K77" i="13"/>
  <c r="J77" i="13"/>
  <c r="L76" i="13"/>
  <c r="L75" i="13" s="1"/>
  <c r="K75" i="13"/>
  <c r="J75" i="13"/>
  <c r="L74" i="13"/>
  <c r="L73" i="13" s="1"/>
  <c r="K73" i="13"/>
  <c r="J73" i="13"/>
  <c r="S72" i="13"/>
  <c r="L72" i="13"/>
  <c r="P72" i="13" s="1"/>
  <c r="K71" i="13"/>
  <c r="J71" i="13"/>
  <c r="L70" i="13"/>
  <c r="L69" i="13" s="1"/>
  <c r="K69" i="13"/>
  <c r="J69" i="13"/>
  <c r="L68" i="13"/>
  <c r="L67" i="13" s="1"/>
  <c r="L66" i="13" s="1"/>
  <c r="K67" i="13"/>
  <c r="K66" i="13" s="1"/>
  <c r="J67" i="13"/>
  <c r="J66" i="13" s="1"/>
  <c r="I67" i="13"/>
  <c r="I66" i="13" s="1"/>
  <c r="I65" i="13" s="1"/>
  <c r="H67" i="13"/>
  <c r="H66" i="13" s="1"/>
  <c r="H65" i="13" s="1"/>
  <c r="G67" i="13"/>
  <c r="G66" i="13" s="1"/>
  <c r="G65" i="13" s="1"/>
  <c r="P64" i="13"/>
  <c r="L64" i="13"/>
  <c r="N64" i="13" s="1"/>
  <c r="N63" i="13" s="1"/>
  <c r="M63" i="13"/>
  <c r="K63" i="13"/>
  <c r="J63" i="13"/>
  <c r="I63" i="13"/>
  <c r="H63" i="13"/>
  <c r="G63" i="13"/>
  <c r="L62" i="13"/>
  <c r="P62" i="13" s="1"/>
  <c r="M61" i="13"/>
  <c r="K61" i="13"/>
  <c r="J61" i="13"/>
  <c r="I61" i="13"/>
  <c r="H61" i="13"/>
  <c r="G61" i="13"/>
  <c r="P59" i="13"/>
  <c r="O59" i="13"/>
  <c r="R64" i="13" s="1"/>
  <c r="L59" i="13"/>
  <c r="N59" i="13" s="1"/>
  <c r="N58" i="13" s="1"/>
  <c r="N57" i="13" s="1"/>
  <c r="G59" i="13"/>
  <c r="M58" i="13"/>
  <c r="M57" i="13" s="1"/>
  <c r="K58" i="13"/>
  <c r="K57" i="13" s="1"/>
  <c r="J58" i="13"/>
  <c r="I58" i="13"/>
  <c r="I57" i="13" s="1"/>
  <c r="H58" i="13"/>
  <c r="H57" i="13" s="1"/>
  <c r="G58" i="13"/>
  <c r="G57" i="13" s="1"/>
  <c r="J57" i="13"/>
  <c r="L56" i="13"/>
  <c r="N56" i="13" s="1"/>
  <c r="N55" i="13" s="1"/>
  <c r="M55" i="13"/>
  <c r="K55" i="13"/>
  <c r="J55" i="13"/>
  <c r="L54" i="13"/>
  <c r="L53" i="13" s="1"/>
  <c r="K53" i="13"/>
  <c r="J53" i="13"/>
  <c r="L52" i="13"/>
  <c r="L51" i="13" s="1"/>
  <c r="K51" i="13"/>
  <c r="J51" i="13"/>
  <c r="M50" i="13"/>
  <c r="M49" i="13" s="1"/>
  <c r="M48" i="13" s="1"/>
  <c r="L50" i="13"/>
  <c r="K49" i="13"/>
  <c r="J49" i="13"/>
  <c r="I49" i="13"/>
  <c r="I48" i="13" s="1"/>
  <c r="H49" i="13"/>
  <c r="H48" i="13" s="1"/>
  <c r="G49" i="13"/>
  <c r="G48" i="13" s="1"/>
  <c r="L47" i="13"/>
  <c r="L46" i="13" s="1"/>
  <c r="K46" i="13"/>
  <c r="J46" i="13"/>
  <c r="L45" i="13"/>
  <c r="L44" i="13" s="1"/>
  <c r="K44" i="13"/>
  <c r="J44" i="13"/>
  <c r="M43" i="13"/>
  <c r="M42" i="13" s="1"/>
  <c r="M41" i="13" s="1"/>
  <c r="L43" i="13"/>
  <c r="I42" i="13"/>
  <c r="I41" i="13" s="1"/>
  <c r="H42" i="13"/>
  <c r="H41" i="13" s="1"/>
  <c r="G42" i="13"/>
  <c r="G41" i="13" s="1"/>
  <c r="L39" i="13"/>
  <c r="N39" i="13" s="1"/>
  <c r="N38" i="13" s="1"/>
  <c r="M38" i="13"/>
  <c r="K38" i="13"/>
  <c r="J38" i="13"/>
  <c r="L37" i="13"/>
  <c r="L36" i="13" s="1"/>
  <c r="K36" i="13"/>
  <c r="J36" i="13"/>
  <c r="L35" i="13"/>
  <c r="L34" i="13" s="1"/>
  <c r="S34" i="13"/>
  <c r="K34" i="13"/>
  <c r="J34" i="13"/>
  <c r="L33" i="13"/>
  <c r="N33" i="13" s="1"/>
  <c r="N32" i="13" s="1"/>
  <c r="N31" i="13" s="1"/>
  <c r="M32" i="13"/>
  <c r="M31" i="13" s="1"/>
  <c r="K32" i="13"/>
  <c r="K31" i="13" s="1"/>
  <c r="J32" i="13"/>
  <c r="J31" i="13" s="1"/>
  <c r="I32" i="13"/>
  <c r="I31" i="13" s="1"/>
  <c r="H32" i="13"/>
  <c r="H31" i="13" s="1"/>
  <c r="G32" i="13"/>
  <c r="G31" i="13" s="1"/>
  <c r="L30" i="13"/>
  <c r="M29" i="13"/>
  <c r="M28" i="13" s="1"/>
  <c r="M27" i="13" s="1"/>
  <c r="G29" i="13"/>
  <c r="I27" i="13"/>
  <c r="H27" i="13"/>
  <c r="J24" i="13"/>
  <c r="L24" i="13" s="1"/>
  <c r="M23" i="13"/>
  <c r="M22" i="13" s="1"/>
  <c r="K23" i="13"/>
  <c r="K22" i="13" s="1"/>
  <c r="I23" i="13"/>
  <c r="I22" i="13" s="1"/>
  <c r="H23" i="13"/>
  <c r="H22" i="13" s="1"/>
  <c r="G23" i="13"/>
  <c r="G22" i="13" s="1"/>
  <c r="L19" i="13"/>
  <c r="N19" i="13" s="1"/>
  <c r="N18" i="13" s="1"/>
  <c r="M18" i="13"/>
  <c r="K18" i="13"/>
  <c r="J18" i="13"/>
  <c r="I18" i="13"/>
  <c r="H18" i="13"/>
  <c r="G18" i="13"/>
  <c r="L17" i="13"/>
  <c r="N17" i="13" s="1"/>
  <c r="N16" i="13" s="1"/>
  <c r="N15" i="13" s="1"/>
  <c r="M16" i="13"/>
  <c r="K16" i="13"/>
  <c r="K15" i="13" s="1"/>
  <c r="J16" i="13"/>
  <c r="J15" i="13" s="1"/>
  <c r="I16" i="13"/>
  <c r="H16" i="13"/>
  <c r="G16" i="13"/>
  <c r="G15" i="13" s="1"/>
  <c r="M15" i="13"/>
  <c r="I15" i="13"/>
  <c r="H15" i="13"/>
  <c r="I70" i="12"/>
  <c r="G70" i="12"/>
  <c r="F70" i="12"/>
  <c r="E70" i="12"/>
  <c r="I69" i="12"/>
  <c r="G69" i="12"/>
  <c r="F69" i="12"/>
  <c r="E69" i="12"/>
  <c r="I68" i="12"/>
  <c r="G68" i="12"/>
  <c r="F68" i="12"/>
  <c r="E68" i="12"/>
  <c r="I67" i="12"/>
  <c r="G67" i="12"/>
  <c r="F67" i="12"/>
  <c r="E67" i="12"/>
  <c r="E66" i="12" s="1"/>
  <c r="F65" i="12"/>
  <c r="E65" i="12"/>
  <c r="F64" i="12"/>
  <c r="E64" i="12"/>
  <c r="F63" i="12"/>
  <c r="E63" i="12"/>
  <c r="F62" i="12"/>
  <c r="E62" i="12"/>
  <c r="F61" i="12"/>
  <c r="E61" i="12"/>
  <c r="I59" i="12"/>
  <c r="H59" i="12"/>
  <c r="G59" i="12"/>
  <c r="F59" i="12"/>
  <c r="E59" i="12"/>
  <c r="G57" i="12"/>
  <c r="F57" i="12"/>
  <c r="E57" i="12"/>
  <c r="F55" i="12"/>
  <c r="E55" i="12"/>
  <c r="F54" i="12"/>
  <c r="E54" i="12"/>
  <c r="F53" i="12"/>
  <c r="E53" i="12"/>
  <c r="I51" i="12"/>
  <c r="H51" i="12"/>
  <c r="G51" i="12"/>
  <c r="F51" i="12"/>
  <c r="E51" i="12"/>
  <c r="G49" i="12"/>
  <c r="F49" i="12"/>
  <c r="E49" i="12"/>
  <c r="F48" i="12"/>
  <c r="E48" i="12"/>
  <c r="F46" i="12"/>
  <c r="E46" i="12"/>
  <c r="F45" i="12"/>
  <c r="E45" i="12"/>
  <c r="F44" i="12"/>
  <c r="E44" i="12"/>
  <c r="F43" i="12"/>
  <c r="E43" i="12"/>
  <c r="F42" i="12"/>
  <c r="E42" i="12"/>
  <c r="F40" i="12"/>
  <c r="E40" i="12"/>
  <c r="F39" i="12"/>
  <c r="E39" i="12"/>
  <c r="F38" i="12"/>
  <c r="E38" i="12"/>
  <c r="F37" i="12"/>
  <c r="E37" i="12"/>
  <c r="F35" i="12"/>
  <c r="E35" i="12"/>
  <c r="F34" i="12"/>
  <c r="E34" i="12"/>
  <c r="F31" i="12"/>
  <c r="E31" i="12"/>
  <c r="E29" i="12" s="1"/>
  <c r="G27" i="12"/>
  <c r="F27" i="12"/>
  <c r="E27" i="12"/>
  <c r="F26" i="12"/>
  <c r="F25" i="12" s="1"/>
  <c r="E26" i="12"/>
  <c r="F22" i="12"/>
  <c r="E22" i="12"/>
  <c r="F20" i="12"/>
  <c r="E20" i="12"/>
  <c r="F19" i="12"/>
  <c r="E19" i="12"/>
  <c r="F18" i="12"/>
  <c r="E18" i="12"/>
  <c r="F15" i="12"/>
  <c r="E15" i="12"/>
  <c r="F14" i="12"/>
  <c r="E14" i="12"/>
  <c r="F13" i="12"/>
  <c r="E13" i="12"/>
  <c r="F12" i="12"/>
  <c r="E12" i="12"/>
  <c r="F11" i="12"/>
  <c r="E11" i="12"/>
  <c r="G10" i="12"/>
  <c r="F10" i="12"/>
  <c r="E10" i="12"/>
  <c r="L595" i="13" l="1"/>
  <c r="K684" i="13"/>
  <c r="K683" i="13" s="1"/>
  <c r="J100" i="13"/>
  <c r="R122" i="13"/>
  <c r="K145" i="13"/>
  <c r="G380" i="13"/>
  <c r="H623" i="13"/>
  <c r="L706" i="13"/>
  <c r="L723" i="13"/>
  <c r="L722" i="13" s="1"/>
  <c r="L721" i="13" s="1"/>
  <c r="L720" i="13" s="1"/>
  <c r="G338" i="13"/>
  <c r="G781" i="13" s="1"/>
  <c r="E36" i="12"/>
  <c r="L139" i="13"/>
  <c r="K247" i="13"/>
  <c r="N777" i="13"/>
  <c r="I684" i="13"/>
  <c r="I683" i="13" s="1"/>
  <c r="K20" i="15"/>
  <c r="K16" i="15"/>
  <c r="K14" i="15"/>
  <c r="N11" i="15"/>
  <c r="M11" i="15"/>
  <c r="K510" i="13"/>
  <c r="K758" i="13" s="1"/>
  <c r="H37" i="12" s="1"/>
  <c r="K538" i="13"/>
  <c r="J538" i="13"/>
  <c r="J247" i="13"/>
  <c r="J242" i="13" s="1"/>
  <c r="K111" i="13"/>
  <c r="G623" i="13"/>
  <c r="I623" i="13"/>
  <c r="J433" i="13"/>
  <c r="J432" i="13" s="1"/>
  <c r="J735" i="13" s="1"/>
  <c r="G11" i="12" s="1"/>
  <c r="O204" i="13"/>
  <c r="N289" i="13"/>
  <c r="N288" i="13" s="1"/>
  <c r="M703" i="13"/>
  <c r="K725" i="13"/>
  <c r="J237" i="13"/>
  <c r="J236" i="13" s="1"/>
  <c r="H14" i="12"/>
  <c r="E47" i="12"/>
  <c r="J25" i="12"/>
  <c r="G25" i="12"/>
  <c r="F47" i="12"/>
  <c r="N375" i="13"/>
  <c r="N373" i="13" s="1"/>
  <c r="L373" i="13"/>
  <c r="J421" i="13"/>
  <c r="J420" i="13" s="1"/>
  <c r="J419" i="13" s="1"/>
  <c r="H749" i="13"/>
  <c r="H476" i="13"/>
  <c r="J749" i="13"/>
  <c r="J476" i="13"/>
  <c r="M749" i="13"/>
  <c r="M476" i="13"/>
  <c r="G749" i="13"/>
  <c r="G476" i="13"/>
  <c r="I749" i="13"/>
  <c r="I476" i="13"/>
  <c r="K749" i="13"/>
  <c r="H27" i="12" s="1"/>
  <c r="K476" i="13"/>
  <c r="G66" i="12"/>
  <c r="O4" i="13"/>
  <c r="H237" i="13"/>
  <c r="H236" i="13" s="1"/>
  <c r="H433" i="13"/>
  <c r="H432" i="13" s="1"/>
  <c r="H735" i="13" s="1"/>
  <c r="H60" i="13"/>
  <c r="H776" i="13" s="1"/>
  <c r="M136" i="13"/>
  <c r="K189" i="13"/>
  <c r="L141" i="13"/>
  <c r="G497" i="13"/>
  <c r="G756" i="13" s="1"/>
  <c r="J644" i="13"/>
  <c r="K65" i="13"/>
  <c r="K778" i="13" s="1"/>
  <c r="H58" i="12" s="1"/>
  <c r="G237" i="13"/>
  <c r="G236" i="13" s="1"/>
  <c r="I237" i="13"/>
  <c r="I236" i="13" s="1"/>
  <c r="K237" i="13"/>
  <c r="K236" i="13" s="1"/>
  <c r="L628" i="13"/>
  <c r="L627" i="13" s="1"/>
  <c r="L624" i="13" s="1"/>
  <c r="J627" i="13"/>
  <c r="G111" i="13"/>
  <c r="G764" i="13" s="1"/>
  <c r="J28" i="13"/>
  <c r="M237" i="13"/>
  <c r="M236" i="13" s="1"/>
  <c r="K28" i="13"/>
  <c r="K27" i="13" s="1"/>
  <c r="K21" i="13" s="1"/>
  <c r="N50" i="13"/>
  <c r="N49" i="13" s="1"/>
  <c r="N48" i="13" s="1"/>
  <c r="J65" i="13"/>
  <c r="J778" i="13" s="1"/>
  <c r="G58" i="12" s="1"/>
  <c r="N109" i="13"/>
  <c r="G108" i="13"/>
  <c r="G107" i="13" s="1"/>
  <c r="G106" i="13" s="1"/>
  <c r="G763" i="13" s="1"/>
  <c r="I160" i="13"/>
  <c r="I767" i="13" s="1"/>
  <c r="L162" i="13"/>
  <c r="L161" i="13" s="1"/>
  <c r="I205" i="13"/>
  <c r="L234" i="13"/>
  <c r="L232" i="13" s="1"/>
  <c r="L231" i="13" s="1"/>
  <c r="L238" i="13"/>
  <c r="H327" i="13"/>
  <c r="I498" i="13"/>
  <c r="H497" i="13"/>
  <c r="H756" i="13" s="1"/>
  <c r="J582" i="13"/>
  <c r="J574" i="13" s="1"/>
  <c r="J569" i="13" s="1"/>
  <c r="G28" i="13"/>
  <c r="G27" i="13" s="1"/>
  <c r="G21" i="13" s="1"/>
  <c r="P29" i="13"/>
  <c r="L28" i="13"/>
  <c r="L27" i="13" s="1"/>
  <c r="H145" i="13"/>
  <c r="I497" i="13"/>
  <c r="I484" i="13" s="1"/>
  <c r="K582" i="13"/>
  <c r="K574" i="13" s="1"/>
  <c r="K569" i="13" s="1"/>
  <c r="K497" i="13"/>
  <c r="K484" i="13" s="1"/>
  <c r="K160" i="13"/>
  <c r="K179" i="13"/>
  <c r="K174" i="13" s="1"/>
  <c r="I49" i="12"/>
  <c r="I66" i="12"/>
  <c r="F25" i="15"/>
  <c r="F24" i="15" s="1"/>
  <c r="F23" i="15" s="1"/>
  <c r="C28" i="15"/>
  <c r="C25" i="15" s="1"/>
  <c r="C24" i="15" s="1"/>
  <c r="N31" i="15"/>
  <c r="N30" i="15" s="1"/>
  <c r="C31" i="15"/>
  <c r="C30" i="15" s="1"/>
  <c r="I23" i="15"/>
  <c r="K13" i="15"/>
  <c r="K12" i="15"/>
  <c r="K18" i="15"/>
  <c r="M23" i="15"/>
  <c r="K19" i="15"/>
  <c r="K17" i="15"/>
  <c r="K15" i="15"/>
  <c r="J23" i="15"/>
  <c r="F35" i="15"/>
  <c r="E23" i="15"/>
  <c r="E35" i="15" s="1"/>
  <c r="K28" i="15"/>
  <c r="K25" i="15" s="1"/>
  <c r="K24" i="15" s="1"/>
  <c r="L25" i="15"/>
  <c r="L24" i="15" s="1"/>
  <c r="L23" i="15" s="1"/>
  <c r="L35" i="15" s="1"/>
  <c r="H35" i="15"/>
  <c r="N23" i="15"/>
  <c r="K31" i="15"/>
  <c r="K30" i="15" s="1"/>
  <c r="L575" i="13"/>
  <c r="M497" i="13"/>
  <c r="M287" i="13"/>
  <c r="M787" i="13" s="1"/>
  <c r="H763" i="13"/>
  <c r="I345" i="13"/>
  <c r="I782" i="13" s="1"/>
  <c r="I460" i="13"/>
  <c r="G543" i="13"/>
  <c r="J646" i="13"/>
  <c r="L646" i="13" s="1"/>
  <c r="N646" i="13" s="1"/>
  <c r="K262" i="13"/>
  <c r="M268" i="13"/>
  <c r="M267" i="13" s="1"/>
  <c r="J275" i="13"/>
  <c r="J274" i="13" s="1"/>
  <c r="L275" i="13"/>
  <c r="L274" i="13" s="1"/>
  <c r="K338" i="13"/>
  <c r="K781" i="13" s="1"/>
  <c r="H61" i="12" s="1"/>
  <c r="J348" i="13"/>
  <c r="J345" i="13" s="1"/>
  <c r="P354" i="13"/>
  <c r="L396" i="13"/>
  <c r="N409" i="13"/>
  <c r="N408" i="13" s="1"/>
  <c r="H414" i="13"/>
  <c r="H407" i="13" s="1"/>
  <c r="J414" i="13"/>
  <c r="I414" i="13"/>
  <c r="I407" i="13" s="1"/>
  <c r="I785" i="13" s="1"/>
  <c r="K414" i="13"/>
  <c r="H421" i="13"/>
  <c r="H420" i="13" s="1"/>
  <c r="M421" i="13"/>
  <c r="M420" i="13" s="1"/>
  <c r="M419" i="13" s="1"/>
  <c r="H470" i="13"/>
  <c r="H744" i="13" s="1"/>
  <c r="G510" i="13"/>
  <c r="H510" i="13"/>
  <c r="M538" i="13"/>
  <c r="K543" i="13"/>
  <c r="G582" i="13"/>
  <c r="M623" i="13"/>
  <c r="H640" i="13"/>
  <c r="L649" i="13"/>
  <c r="L648" i="13" s="1"/>
  <c r="H703" i="13"/>
  <c r="H748" i="13"/>
  <c r="E747" i="13" s="1"/>
  <c r="N211" i="13"/>
  <c r="N210" i="13" s="1"/>
  <c r="L210" i="13"/>
  <c r="G14" i="13"/>
  <c r="G13" i="13" s="1"/>
  <c r="K14" i="13"/>
  <c r="K13" i="13" s="1"/>
  <c r="M160" i="13"/>
  <c r="M767" i="13" s="1"/>
  <c r="I189" i="13"/>
  <c r="I179" i="13" s="1"/>
  <c r="J198" i="13"/>
  <c r="J193" i="13" s="1"/>
  <c r="J189" i="13" s="1"/>
  <c r="J179" i="13" s="1"/>
  <c r="L199" i="13"/>
  <c r="L206" i="13"/>
  <c r="K205" i="13"/>
  <c r="K204" i="13" s="1"/>
  <c r="J210" i="13"/>
  <c r="H262" i="13"/>
  <c r="H256" i="13" s="1"/>
  <c r="J262" i="13"/>
  <c r="J256" i="13" s="1"/>
  <c r="I262" i="13"/>
  <c r="I256" i="13" s="1"/>
  <c r="H287" i="13"/>
  <c r="J287" i="13"/>
  <c r="G287" i="13"/>
  <c r="G787" i="13" s="1"/>
  <c r="I287" i="13"/>
  <c r="I787" i="13" s="1"/>
  <c r="H293" i="13"/>
  <c r="H292" i="13" s="1"/>
  <c r="H788" i="13" s="1"/>
  <c r="L306" i="13"/>
  <c r="L305" i="13" s="1"/>
  <c r="L304" i="13" s="1"/>
  <c r="N307" i="13"/>
  <c r="N306" i="13" s="1"/>
  <c r="N305" i="13" s="1"/>
  <c r="N790" i="13" s="1"/>
  <c r="K320" i="13"/>
  <c r="M326" i="13"/>
  <c r="N361" i="13"/>
  <c r="N370" i="13"/>
  <c r="G421" i="13"/>
  <c r="G748" i="13" s="1"/>
  <c r="I421" i="13"/>
  <c r="I420" i="13" s="1"/>
  <c r="K421" i="13"/>
  <c r="K420" i="13" s="1"/>
  <c r="K419" i="13" s="1"/>
  <c r="K455" i="13"/>
  <c r="K454" i="13" s="1"/>
  <c r="K739" i="13" s="1"/>
  <c r="H15" i="12" s="1"/>
  <c r="G460" i="13"/>
  <c r="J470" i="13"/>
  <c r="J744" i="13" s="1"/>
  <c r="L492" i="13"/>
  <c r="L491" i="13" s="1"/>
  <c r="L754" i="13" s="1"/>
  <c r="L511" i="13"/>
  <c r="I510" i="13"/>
  <c r="M510" i="13"/>
  <c r="M543" i="13"/>
  <c r="L621" i="13"/>
  <c r="L620" i="13" s="1"/>
  <c r="L619" i="13" s="1"/>
  <c r="L633" i="13"/>
  <c r="L632" i="13" s="1"/>
  <c r="L631" i="13" s="1"/>
  <c r="J697" i="13"/>
  <c r="J696" i="13" s="1"/>
  <c r="I748" i="13"/>
  <c r="J99" i="13"/>
  <c r="J98" i="13" s="1"/>
  <c r="H99" i="13"/>
  <c r="H98" i="13" s="1"/>
  <c r="M99" i="13"/>
  <c r="M98" i="13" s="1"/>
  <c r="H189" i="13"/>
  <c r="H358" i="13"/>
  <c r="H355" i="13" s="1"/>
  <c r="H783" i="13" s="1"/>
  <c r="G470" i="13"/>
  <c r="G744" i="13" s="1"/>
  <c r="K470" i="13"/>
  <c r="K744" i="13" s="1"/>
  <c r="M640" i="13"/>
  <c r="M639" i="13" s="1"/>
  <c r="M635" i="13" s="1"/>
  <c r="L500" i="13"/>
  <c r="I27" i="12"/>
  <c r="I14" i="13"/>
  <c r="I13" i="13" s="1"/>
  <c r="J42" i="13"/>
  <c r="J41" i="13" s="1"/>
  <c r="J60" i="13"/>
  <c r="J776" i="13" s="1"/>
  <c r="G55" i="12" s="1"/>
  <c r="K95" i="13"/>
  <c r="K83" i="13" s="1"/>
  <c r="K779" i="13" s="1"/>
  <c r="G145" i="13"/>
  <c r="I145" i="13"/>
  <c r="N150" i="13"/>
  <c r="N149" i="13" s="1"/>
  <c r="N145" i="13" s="1"/>
  <c r="L190" i="13"/>
  <c r="J320" i="13"/>
  <c r="L359" i="13"/>
  <c r="L361" i="13"/>
  <c r="I358" i="13"/>
  <c r="L378" i="13"/>
  <c r="N412" i="13"/>
  <c r="N411" i="13" s="1"/>
  <c r="N410" i="13" s="1"/>
  <c r="P413" i="13"/>
  <c r="N421" i="13"/>
  <c r="N420" i="13" s="1"/>
  <c r="N419" i="13" s="1"/>
  <c r="L434" i="13"/>
  <c r="N435" i="13"/>
  <c r="N434" i="13" s="1"/>
  <c r="M433" i="13"/>
  <c r="M432" i="13" s="1"/>
  <c r="M735" i="13" s="1"/>
  <c r="H438" i="13"/>
  <c r="J495" i="13"/>
  <c r="J494" i="13" s="1"/>
  <c r="J755" i="13" s="1"/>
  <c r="L516" i="13"/>
  <c r="I543" i="13"/>
  <c r="J546" i="13"/>
  <c r="J543" i="13" s="1"/>
  <c r="I582" i="13"/>
  <c r="M592" i="13"/>
  <c r="H695" i="13"/>
  <c r="H769" i="13" s="1"/>
  <c r="J703" i="13"/>
  <c r="I703" i="13"/>
  <c r="I695" i="13" s="1"/>
  <c r="I769" i="13" s="1"/>
  <c r="L662" i="13"/>
  <c r="L661" i="13" s="1"/>
  <c r="E25" i="12"/>
  <c r="K154" i="13"/>
  <c r="K153" i="13" s="1"/>
  <c r="I35" i="15"/>
  <c r="J35" i="15"/>
  <c r="G35" i="15"/>
  <c r="E9" i="12"/>
  <c r="F29" i="12"/>
  <c r="E52" i="12"/>
  <c r="E60" i="12"/>
  <c r="F66" i="12"/>
  <c r="I10" i="12"/>
  <c r="H639" i="13"/>
  <c r="H635" i="13" s="1"/>
  <c r="N749" i="13"/>
  <c r="M21" i="13"/>
  <c r="M774" i="13" s="1"/>
  <c r="N14" i="13"/>
  <c r="H14" i="13"/>
  <c r="J14" i="13"/>
  <c r="J13" i="13" s="1"/>
  <c r="M14" i="13"/>
  <c r="I21" i="13"/>
  <c r="S30" i="13"/>
  <c r="J27" i="13"/>
  <c r="L38" i="13"/>
  <c r="J48" i="13"/>
  <c r="G99" i="13"/>
  <c r="G98" i="13" s="1"/>
  <c r="I99" i="13"/>
  <c r="I98" i="13" s="1"/>
  <c r="K99" i="13"/>
  <c r="K98" i="13" s="1"/>
  <c r="I763" i="13"/>
  <c r="K763" i="13"/>
  <c r="H42" i="12" s="1"/>
  <c r="I111" i="13"/>
  <c r="I764" i="13" s="1"/>
  <c r="M145" i="13"/>
  <c r="G766" i="13"/>
  <c r="I766" i="13"/>
  <c r="M766" i="13"/>
  <c r="H160" i="13"/>
  <c r="H767" i="13" s="1"/>
  <c r="L168" i="13"/>
  <c r="L167" i="13" s="1"/>
  <c r="G160" i="13"/>
  <c r="G767" i="13" s="1"/>
  <c r="N169" i="13"/>
  <c r="N168" i="13" s="1"/>
  <c r="N167" i="13" s="1"/>
  <c r="H179" i="13"/>
  <c r="H784" i="13" s="1"/>
  <c r="L215" i="13"/>
  <c r="L214" i="13" s="1"/>
  <c r="L738" i="13" s="1"/>
  <c r="I14" i="12" s="1"/>
  <c r="N237" i="13"/>
  <c r="N236" i="13" s="1"/>
  <c r="H243" i="13"/>
  <c r="H242" i="13" s="1"/>
  <c r="G31" i="12"/>
  <c r="I243" i="13"/>
  <c r="H31" i="12"/>
  <c r="J293" i="13"/>
  <c r="J292" i="13" s="1"/>
  <c r="J310" i="13"/>
  <c r="J309" i="13" s="1"/>
  <c r="K326" i="13"/>
  <c r="G327" i="13"/>
  <c r="G326" i="13" s="1"/>
  <c r="I327" i="13"/>
  <c r="I326" i="13" s="1"/>
  <c r="M345" i="13"/>
  <c r="M782" i="13" s="1"/>
  <c r="M358" i="13"/>
  <c r="M355" i="13" s="1"/>
  <c r="M783" i="13" s="1"/>
  <c r="L370" i="13"/>
  <c r="L400" i="13"/>
  <c r="K407" i="13"/>
  <c r="K785" i="13" s="1"/>
  <c r="H65" i="12" s="1"/>
  <c r="G414" i="13"/>
  <c r="G407" i="13" s="1"/>
  <c r="G785" i="13" s="1"/>
  <c r="M414" i="13"/>
  <c r="L417" i="13"/>
  <c r="L414" i="13" s="1"/>
  <c r="L422" i="13"/>
  <c r="L424" i="13"/>
  <c r="G433" i="13"/>
  <c r="G432" i="13" s="1"/>
  <c r="I433" i="13"/>
  <c r="I432" i="13" s="1"/>
  <c r="K433" i="13"/>
  <c r="G438" i="13"/>
  <c r="G736" i="13" s="1"/>
  <c r="J452" i="13"/>
  <c r="J451" i="13" s="1"/>
  <c r="J737" i="13" s="1"/>
  <c r="G13" i="12" s="1"/>
  <c r="H460" i="13"/>
  <c r="J468" i="13"/>
  <c r="J460" i="13" s="1"/>
  <c r="J743" i="13" s="1"/>
  <c r="G21" i="12" s="1"/>
  <c r="I470" i="13"/>
  <c r="I744" i="13" s="1"/>
  <c r="M470" i="13"/>
  <c r="M744" i="13" s="1"/>
  <c r="L479" i="13"/>
  <c r="L478" i="13" s="1"/>
  <c r="L477" i="13" s="1"/>
  <c r="L476" i="13" s="1"/>
  <c r="I538" i="13"/>
  <c r="K563" i="13"/>
  <c r="K761" i="13" s="1"/>
  <c r="H40" i="12" s="1"/>
  <c r="I40" i="12" s="1"/>
  <c r="M574" i="13"/>
  <c r="M569" i="13" s="1"/>
  <c r="L584" i="13"/>
  <c r="N584" i="13" s="1"/>
  <c r="N583" i="13" s="1"/>
  <c r="N582" i="13" s="1"/>
  <c r="H592" i="13"/>
  <c r="L596" i="13"/>
  <c r="G592" i="13"/>
  <c r="G569" i="13" s="1"/>
  <c r="L599" i="13"/>
  <c r="L598" i="13" s="1"/>
  <c r="J641" i="13"/>
  <c r="J640" i="13" s="1"/>
  <c r="I640" i="13"/>
  <c r="I639" i="13" s="1"/>
  <c r="K640" i="13"/>
  <c r="K639" i="13" s="1"/>
  <c r="M695" i="13"/>
  <c r="M694" i="13" s="1"/>
  <c r="M673" i="13" s="1"/>
  <c r="K697" i="13"/>
  <c r="K696" i="13" s="1"/>
  <c r="L158" i="13"/>
  <c r="L155" i="13" s="1"/>
  <c r="L154" i="13" s="1"/>
  <c r="L153" i="13" s="1"/>
  <c r="F36" i="12"/>
  <c r="F41" i="12"/>
  <c r="F52" i="12"/>
  <c r="F60" i="12"/>
  <c r="H40" i="13"/>
  <c r="H775" i="13" s="1"/>
  <c r="G40" i="13"/>
  <c r="G775" i="13" s="1"/>
  <c r="I40" i="13"/>
  <c r="I775" i="13" s="1"/>
  <c r="M83" i="13"/>
  <c r="M779" i="13" s="1"/>
  <c r="N99" i="13"/>
  <c r="N98" i="13" s="1"/>
  <c r="J763" i="13"/>
  <c r="G42" i="12" s="1"/>
  <c r="H766" i="13"/>
  <c r="H174" i="13"/>
  <c r="G193" i="13"/>
  <c r="G189" i="13" s="1"/>
  <c r="G179" i="13" s="1"/>
  <c r="G784" i="13" s="1"/>
  <c r="K358" i="13"/>
  <c r="K355" i="13" s="1"/>
  <c r="I438" i="13"/>
  <c r="M438" i="13"/>
  <c r="H604" i="13"/>
  <c r="G703" i="13"/>
  <c r="G695" i="13" s="1"/>
  <c r="N156" i="13"/>
  <c r="N155" i="13" s="1"/>
  <c r="N154" i="13" s="1"/>
  <c r="N153" i="13" s="1"/>
  <c r="N766" i="13" s="1"/>
  <c r="J592" i="13"/>
  <c r="N753" i="13"/>
  <c r="L391" i="13"/>
  <c r="K345" i="13"/>
  <c r="L346" i="13"/>
  <c r="K287" i="13"/>
  <c r="K275" i="13"/>
  <c r="K274" i="13" s="1"/>
  <c r="L240" i="13"/>
  <c r="L237" i="13" s="1"/>
  <c r="L236" i="13" s="1"/>
  <c r="J160" i="13"/>
  <c r="P4" i="13"/>
  <c r="L143" i="13"/>
  <c r="T116" i="13"/>
  <c r="H13" i="13"/>
  <c r="M13" i="13"/>
  <c r="N176" i="13"/>
  <c r="N175" i="13" s="1"/>
  <c r="P271" i="13"/>
  <c r="N271" i="13"/>
  <c r="N270" i="13" s="1"/>
  <c r="N269" i="13" s="1"/>
  <c r="L270" i="13"/>
  <c r="L269" i="13" s="1"/>
  <c r="N295" i="13"/>
  <c r="N294" i="13" s="1"/>
  <c r="L294" i="13"/>
  <c r="L316" i="13"/>
  <c r="L315" i="13" s="1"/>
  <c r="J315" i="13"/>
  <c r="N349" i="13"/>
  <c r="N348" i="13" s="1"/>
  <c r="L348" i="13"/>
  <c r="N453" i="13"/>
  <c r="N452" i="13" s="1"/>
  <c r="N451" i="13" s="1"/>
  <c r="N737" i="13" s="1"/>
  <c r="L452" i="13"/>
  <c r="L451" i="13" s="1"/>
  <c r="L737" i="13" s="1"/>
  <c r="I13" i="12" s="1"/>
  <c r="N579" i="13"/>
  <c r="N578" i="13" s="1"/>
  <c r="K795" i="13"/>
  <c r="H74" i="12" s="1"/>
  <c r="K668" i="13"/>
  <c r="H694" i="13"/>
  <c r="H673" i="13" s="1"/>
  <c r="I694" i="13"/>
  <c r="I673" i="13" s="1"/>
  <c r="F9" i="12"/>
  <c r="E41" i="12"/>
  <c r="N43" i="13"/>
  <c r="N42" i="13" s="1"/>
  <c r="N41" i="13" s="1"/>
  <c r="P43" i="13"/>
  <c r="K42" i="13"/>
  <c r="K41" i="13" s="1"/>
  <c r="L49" i="13"/>
  <c r="L48" i="13" s="1"/>
  <c r="M40" i="13"/>
  <c r="M775" i="13" s="1"/>
  <c r="L58" i="13"/>
  <c r="L57" i="13" s="1"/>
  <c r="L61" i="13"/>
  <c r="N62" i="13"/>
  <c r="N61" i="13" s="1"/>
  <c r="N60" i="13" s="1"/>
  <c r="N776" i="13" s="1"/>
  <c r="M60" i="13"/>
  <c r="M776" i="13" s="1"/>
  <c r="L71" i="13"/>
  <c r="L65" i="13" s="1"/>
  <c r="L778" i="13" s="1"/>
  <c r="I58" i="12" s="1"/>
  <c r="J83" i="13"/>
  <c r="J779" i="13" s="1"/>
  <c r="L87" i="13"/>
  <c r="L103" i="13"/>
  <c r="L102" i="13" s="1"/>
  <c r="L108" i="13"/>
  <c r="L107" i="13" s="1"/>
  <c r="L106" i="13" s="1"/>
  <c r="H111" i="13"/>
  <c r="N136" i="13"/>
  <c r="L147" i="13"/>
  <c r="L146" i="13" s="1"/>
  <c r="L149" i="13"/>
  <c r="L176" i="13"/>
  <c r="L175" i="13" s="1"/>
  <c r="L183" i="13"/>
  <c r="L182" i="13" s="1"/>
  <c r="M189" i="13"/>
  <c r="M179" i="13" s="1"/>
  <c r="M205" i="13"/>
  <c r="L212" i="13"/>
  <c r="G242" i="13"/>
  <c r="G293" i="13"/>
  <c r="G292" i="13" s="1"/>
  <c r="I293" i="13"/>
  <c r="I292" i="13" s="1"/>
  <c r="I788" i="13" s="1"/>
  <c r="K293" i="13"/>
  <c r="K292" i="13" s="1"/>
  <c r="J286" i="13"/>
  <c r="L320" i="13"/>
  <c r="H326" i="13"/>
  <c r="G345" i="13"/>
  <c r="G782" i="13" s="1"/>
  <c r="M407" i="13"/>
  <c r="M785" i="13" s="1"/>
  <c r="L697" i="13"/>
  <c r="L696" i="13" s="1"/>
  <c r="H787" i="13"/>
  <c r="H283" i="13"/>
  <c r="H282" i="13" s="1"/>
  <c r="K799" i="13"/>
  <c r="H76" i="12" s="1"/>
  <c r="K304" i="13"/>
  <c r="N340" i="13"/>
  <c r="N339" i="13" s="1"/>
  <c r="N338" i="13" s="1"/>
  <c r="L339" i="13"/>
  <c r="G735" i="13"/>
  <c r="I735" i="13"/>
  <c r="P446" i="13"/>
  <c r="L444" i="13"/>
  <c r="L443" i="13" s="1"/>
  <c r="N496" i="13"/>
  <c r="N495" i="13" s="1"/>
  <c r="N494" i="13" s="1"/>
  <c r="N755" i="13" s="1"/>
  <c r="L495" i="13"/>
  <c r="L494" i="13" s="1"/>
  <c r="L755" i="13" s="1"/>
  <c r="N547" i="13"/>
  <c r="N546" i="13" s="1"/>
  <c r="L546" i="13"/>
  <c r="N608" i="13"/>
  <c r="N606" i="13" s="1"/>
  <c r="N605" i="13" s="1"/>
  <c r="N604" i="13" s="1"/>
  <c r="L606" i="13"/>
  <c r="L605" i="13" s="1"/>
  <c r="R535" i="13"/>
  <c r="J795" i="13"/>
  <c r="J668" i="13"/>
  <c r="H21" i="13"/>
  <c r="P50" i="13"/>
  <c r="K48" i="13"/>
  <c r="K40" i="13" s="1"/>
  <c r="K775" i="13" s="1"/>
  <c r="G60" i="13"/>
  <c r="G776" i="13" s="1"/>
  <c r="I60" i="13"/>
  <c r="I776" i="13" s="1"/>
  <c r="K60" i="13"/>
  <c r="K776" i="13" s="1"/>
  <c r="H55" i="12" s="1"/>
  <c r="N83" i="13"/>
  <c r="N779" i="13" s="1"/>
  <c r="M111" i="13"/>
  <c r="M105" i="13" s="1"/>
  <c r="J136" i="13"/>
  <c r="H205" i="13"/>
  <c r="H204" i="13" s="1"/>
  <c r="J205" i="13"/>
  <c r="J204" i="13" s="1"/>
  <c r="N262" i="13"/>
  <c r="N256" i="13" s="1"/>
  <c r="H345" i="13"/>
  <c r="H782" i="13" s="1"/>
  <c r="I355" i="13"/>
  <c r="G383" i="13"/>
  <c r="J407" i="13"/>
  <c r="J785" i="13" s="1"/>
  <c r="G65" i="12" s="1"/>
  <c r="L460" i="13"/>
  <c r="L743" i="13" s="1"/>
  <c r="I21" i="12" s="1"/>
  <c r="N523" i="13"/>
  <c r="H543" i="13"/>
  <c r="H522" i="13" s="1"/>
  <c r="H509" i="13" s="1"/>
  <c r="H757" i="13" s="1"/>
  <c r="H569" i="13"/>
  <c r="H582" i="13"/>
  <c r="J604" i="13"/>
  <c r="H777" i="13"/>
  <c r="J777" i="13"/>
  <c r="L777" i="13"/>
  <c r="M243" i="13"/>
  <c r="K310" i="13"/>
  <c r="K309" i="13" s="1"/>
  <c r="H338" i="13"/>
  <c r="H781" i="13" s="1"/>
  <c r="J338" i="13"/>
  <c r="L341" i="13"/>
  <c r="R409" i="13"/>
  <c r="N352" i="13"/>
  <c r="N351" i="13" s="1"/>
  <c r="N350" i="13" s="1"/>
  <c r="L353" i="13"/>
  <c r="L364" i="13"/>
  <c r="L366" i="13"/>
  <c r="L368" i="13"/>
  <c r="L394" i="13"/>
  <c r="L398" i="13"/>
  <c r="L408" i="13"/>
  <c r="L411" i="13"/>
  <c r="L410" i="13" s="1"/>
  <c r="N416" i="13"/>
  <c r="N415" i="13" s="1"/>
  <c r="N414" i="13" s="1"/>
  <c r="N407" i="13" s="1"/>
  <c r="N785" i="13" s="1"/>
  <c r="S435" i="13"/>
  <c r="L436" i="13"/>
  <c r="N437" i="13"/>
  <c r="N436" i="13" s="1"/>
  <c r="N433" i="13" s="1"/>
  <c r="N432" i="13" s="1"/>
  <c r="N735" i="13" s="1"/>
  <c r="L441" i="13"/>
  <c r="K444" i="13"/>
  <c r="K443" i="13" s="1"/>
  <c r="K438" i="13" s="1"/>
  <c r="L447" i="13"/>
  <c r="J455" i="13"/>
  <c r="J454" i="13" s="1"/>
  <c r="J739" i="13" s="1"/>
  <c r="G15" i="12" s="1"/>
  <c r="L458" i="13"/>
  <c r="L455" i="13" s="1"/>
  <c r="L454" i="13" s="1"/>
  <c r="L739" i="13" s="1"/>
  <c r="I15" i="12" s="1"/>
  <c r="K460" i="13"/>
  <c r="N475" i="13"/>
  <c r="N474" i="13" s="1"/>
  <c r="N473" i="13" s="1"/>
  <c r="K534" i="13"/>
  <c r="K533" i="13" s="1"/>
  <c r="K522" i="13" s="1"/>
  <c r="G538" i="13"/>
  <c r="G522" i="13" s="1"/>
  <c r="J567" i="13"/>
  <c r="K606" i="13"/>
  <c r="K605" i="13" s="1"/>
  <c r="I777" i="13"/>
  <c r="K777" i="13"/>
  <c r="H56" i="12" s="1"/>
  <c r="I56" i="12" s="1"/>
  <c r="M777" i="13"/>
  <c r="L644" i="13"/>
  <c r="G639" i="13"/>
  <c r="G635" i="13" s="1"/>
  <c r="L664" i="13"/>
  <c r="L689" i="13"/>
  <c r="J683" i="13"/>
  <c r="L692" i="13"/>
  <c r="L691" i="13" s="1"/>
  <c r="K704" i="13"/>
  <c r="K703" i="13" s="1"/>
  <c r="K695" i="13" s="1"/>
  <c r="K714" i="13"/>
  <c r="K713" i="13" s="1"/>
  <c r="K712" i="13" s="1"/>
  <c r="K771" i="13" s="1"/>
  <c r="H50" i="12" s="1"/>
  <c r="L112" i="13"/>
  <c r="N113" i="13"/>
  <c r="N112" i="13" s="1"/>
  <c r="H764" i="13"/>
  <c r="P116" i="13"/>
  <c r="N116" i="13"/>
  <c r="L115" i="13"/>
  <c r="L114" i="13" s="1"/>
  <c r="M784" i="13"/>
  <c r="M174" i="13"/>
  <c r="K746" i="13"/>
  <c r="H24" i="12" s="1"/>
  <c r="K230" i="13"/>
  <c r="N13" i="13"/>
  <c r="L23" i="13"/>
  <c r="L22" i="13" s="1"/>
  <c r="N24" i="13"/>
  <c r="N23" i="13" s="1"/>
  <c r="N22" i="13" s="1"/>
  <c r="N127" i="13"/>
  <c r="N126" i="13" s="1"/>
  <c r="N125" i="13" s="1"/>
  <c r="L126" i="13"/>
  <c r="L125" i="13" s="1"/>
  <c r="P127" i="13"/>
  <c r="L42" i="13"/>
  <c r="L41" i="13" s="1"/>
  <c r="N40" i="13"/>
  <c r="N108" i="13"/>
  <c r="N107" i="13" s="1"/>
  <c r="N106" i="13" s="1"/>
  <c r="N202" i="13"/>
  <c r="N198" i="13" s="1"/>
  <c r="N193" i="13" s="1"/>
  <c r="N189" i="13" s="1"/>
  <c r="L198" i="13"/>
  <c r="G740" i="13"/>
  <c r="G204" i="13"/>
  <c r="I740" i="13"/>
  <c r="I204" i="13"/>
  <c r="K740" i="13"/>
  <c r="N221" i="13"/>
  <c r="N220" i="13" s="1"/>
  <c r="N219" i="13" s="1"/>
  <c r="N218" i="13" s="1"/>
  <c r="N740" i="13" s="1"/>
  <c r="L220" i="13"/>
  <c r="L219" i="13" s="1"/>
  <c r="L218" i="13" s="1"/>
  <c r="N233" i="13"/>
  <c r="N232" i="13" s="1"/>
  <c r="N231" i="13" s="1"/>
  <c r="N230" i="13" s="1"/>
  <c r="I753" i="13"/>
  <c r="I242" i="13"/>
  <c r="I751" i="13" s="1"/>
  <c r="K242" i="13"/>
  <c r="G788" i="13"/>
  <c r="G286" i="13"/>
  <c r="G786" i="13" s="1"/>
  <c r="H790" i="13"/>
  <c r="E786" i="13" s="1"/>
  <c r="H303" i="13"/>
  <c r="J799" i="13"/>
  <c r="J304" i="13"/>
  <c r="J303" i="13"/>
  <c r="L799" i="13"/>
  <c r="L303" i="13"/>
  <c r="L331" i="13"/>
  <c r="N332" i="13"/>
  <c r="N331" i="13" s="1"/>
  <c r="N327" i="13" s="1"/>
  <c r="N326" i="13" s="1"/>
  <c r="N403" i="13"/>
  <c r="N402" i="13" s="1"/>
  <c r="L402" i="13"/>
  <c r="P403" i="13"/>
  <c r="N734" i="13"/>
  <c r="L449" i="13"/>
  <c r="N450" i="13"/>
  <c r="N449" i="13" s="1"/>
  <c r="H755" i="13"/>
  <c r="H484" i="13"/>
  <c r="N499" i="13"/>
  <c r="N498" i="13" s="1"/>
  <c r="N497" i="13" s="1"/>
  <c r="L498" i="13"/>
  <c r="H759" i="13"/>
  <c r="L564" i="13"/>
  <c r="L563" i="13" s="1"/>
  <c r="L761" i="13" s="1"/>
  <c r="N565" i="13"/>
  <c r="N564" i="13" s="1"/>
  <c r="N563" i="13" s="1"/>
  <c r="N761" i="13" s="1"/>
  <c r="P595" i="13"/>
  <c r="L594" i="13"/>
  <c r="L593" i="13" s="1"/>
  <c r="L592" i="13" s="1"/>
  <c r="N595" i="13"/>
  <c r="N594" i="13" s="1"/>
  <c r="N593" i="13" s="1"/>
  <c r="N592" i="13" s="1"/>
  <c r="N770" i="13"/>
  <c r="N628" i="13"/>
  <c r="N627" i="13" s="1"/>
  <c r="N624" i="13" s="1"/>
  <c r="N623" i="13" s="1"/>
  <c r="N642" i="13"/>
  <c r="N641" i="13" s="1"/>
  <c r="N640" i="13" s="1"/>
  <c r="L641" i="13"/>
  <c r="N29" i="13"/>
  <c r="P30" i="13"/>
  <c r="S64" i="13"/>
  <c r="N117" i="13"/>
  <c r="N163" i="13"/>
  <c r="N162" i="13" s="1"/>
  <c r="N161" i="13" s="1"/>
  <c r="P164" i="13"/>
  <c r="N293" i="13"/>
  <c r="N292" i="13" s="1"/>
  <c r="N788" i="13" s="1"/>
  <c r="I569" i="13"/>
  <c r="P209" i="13"/>
  <c r="L208" i="13"/>
  <c r="L205" i="13" s="1"/>
  <c r="M740" i="13"/>
  <c r="M204" i="13"/>
  <c r="J746" i="13"/>
  <c r="J230" i="13"/>
  <c r="M242" i="13"/>
  <c r="J802" i="13"/>
  <c r="G78" i="12" s="1"/>
  <c r="K802" i="13"/>
  <c r="H78" i="12" s="1"/>
  <c r="J781" i="13"/>
  <c r="G61" i="12" s="1"/>
  <c r="L356" i="13"/>
  <c r="N357" i="13"/>
  <c r="N356" i="13" s="1"/>
  <c r="L380" i="13"/>
  <c r="N382" i="13"/>
  <c r="N380" i="13" s="1"/>
  <c r="L513" i="13"/>
  <c r="N514" i="13"/>
  <c r="N513" i="13" s="1"/>
  <c r="N510" i="13" s="1"/>
  <c r="L572" i="13"/>
  <c r="L571" i="13" s="1"/>
  <c r="N573" i="13"/>
  <c r="N572" i="13" s="1"/>
  <c r="N571" i="13" s="1"/>
  <c r="N570" i="13" s="1"/>
  <c r="L651" i="13"/>
  <c r="N652" i="13"/>
  <c r="N651" i="13" s="1"/>
  <c r="L795" i="13"/>
  <c r="L668" i="13"/>
  <c r="L16" i="13"/>
  <c r="L15" i="13" s="1"/>
  <c r="L18" i="13"/>
  <c r="J23" i="13"/>
  <c r="J22" i="13" s="1"/>
  <c r="N30" i="13"/>
  <c r="L32" i="13"/>
  <c r="L31" i="13" s="1"/>
  <c r="L55" i="13"/>
  <c r="L63" i="13"/>
  <c r="L60" i="13" s="1"/>
  <c r="L776" i="13" s="1"/>
  <c r="I55" i="12" s="1"/>
  <c r="L85" i="13"/>
  <c r="L84" i="13" s="1"/>
  <c r="L100" i="13"/>
  <c r="L99" i="13" s="1"/>
  <c r="L98" i="13" s="1"/>
  <c r="J112" i="13"/>
  <c r="L137" i="13"/>
  <c r="L136" i="13" s="1"/>
  <c r="L170" i="13"/>
  <c r="L172" i="13"/>
  <c r="L180" i="13"/>
  <c r="L184" i="13"/>
  <c r="N209" i="13"/>
  <c r="N208" i="13" s="1"/>
  <c r="N205" i="13" s="1"/>
  <c r="N217" i="13"/>
  <c r="N215" i="13" s="1"/>
  <c r="N214" i="13" s="1"/>
  <c r="N229" i="13"/>
  <c r="N228" i="13" s="1"/>
  <c r="N227" i="13" s="1"/>
  <c r="N226" i="13" s="1"/>
  <c r="N742" i="13" s="1"/>
  <c r="N242" i="13"/>
  <c r="N268" i="13"/>
  <c r="N267" i="13" s="1"/>
  <c r="M293" i="13"/>
  <c r="M292" i="13" s="1"/>
  <c r="N345" i="13"/>
  <c r="N782" i="13" s="1"/>
  <c r="N383" i="13"/>
  <c r="N470" i="13"/>
  <c r="N526" i="13"/>
  <c r="N538" i="13"/>
  <c r="L714" i="13"/>
  <c r="L713" i="13" s="1"/>
  <c r="L712" i="13" s="1"/>
  <c r="L771" i="13" s="1"/>
  <c r="I50" i="12" s="1"/>
  <c r="N291" i="13"/>
  <c r="N290" i="13" s="1"/>
  <c r="N287" i="13" s="1"/>
  <c r="L310" i="13"/>
  <c r="L309" i="13" s="1"/>
  <c r="P342" i="13"/>
  <c r="O409" i="13"/>
  <c r="T413" i="13"/>
  <c r="J748" i="13"/>
  <c r="J747" i="13" s="1"/>
  <c r="N748" i="13"/>
  <c r="P431" i="13"/>
  <c r="L440" i="13"/>
  <c r="N446" i="13"/>
  <c r="N444" i="13" s="1"/>
  <c r="N443" i="13" s="1"/>
  <c r="N747" i="13"/>
  <c r="I756" i="13"/>
  <c r="M756" i="13"/>
  <c r="P501" i="13"/>
  <c r="P506" i="13"/>
  <c r="P537" i="13"/>
  <c r="L545" i="13"/>
  <c r="N678" i="13"/>
  <c r="N677" i="13" s="1"/>
  <c r="N676" i="13" s="1"/>
  <c r="N675" i="13" s="1"/>
  <c r="N674" i="13" s="1"/>
  <c r="J771" i="13"/>
  <c r="G50" i="12" s="1"/>
  <c r="H772" i="13"/>
  <c r="J772" i="13"/>
  <c r="M772" i="13"/>
  <c r="L725" i="13"/>
  <c r="L254" i="13"/>
  <c r="L247" i="13" s="1"/>
  <c r="L265" i="13"/>
  <c r="L262" i="13" s="1"/>
  <c r="L256" i="13" s="1"/>
  <c r="L272" i="13"/>
  <c r="G283" i="13"/>
  <c r="G282" i="13" s="1"/>
  <c r="L284" i="13"/>
  <c r="L283" i="13" s="1"/>
  <c r="L282" i="13" s="1"/>
  <c r="H286" i="13"/>
  <c r="H786" i="13" s="1"/>
  <c r="L288" i="13"/>
  <c r="L287" i="13" s="1"/>
  <c r="L296" i="13"/>
  <c r="L298" i="13"/>
  <c r="L301" i="13"/>
  <c r="L300" i="13" s="1"/>
  <c r="I303" i="13"/>
  <c r="K303" i="13"/>
  <c r="L329" i="13"/>
  <c r="L328" i="13" s="1"/>
  <c r="J331" i="13"/>
  <c r="J327" i="13" s="1"/>
  <c r="J326" i="13" s="1"/>
  <c r="J356" i="13"/>
  <c r="L376" i="13"/>
  <c r="J380" i="13"/>
  <c r="J358" i="13" s="1"/>
  <c r="L385" i="13"/>
  <c r="L383" i="13" s="1"/>
  <c r="L405" i="13"/>
  <c r="L404" i="13" s="1"/>
  <c r="K748" i="13"/>
  <c r="K747" i="13" s="1"/>
  <c r="M748" i="13"/>
  <c r="L430" i="13"/>
  <c r="L429" i="13" s="1"/>
  <c r="L428" i="13" s="1"/>
  <c r="J449" i="13"/>
  <c r="J438" i="13" s="1"/>
  <c r="L471" i="13"/>
  <c r="L470" i="13" s="1"/>
  <c r="L744" i="13" s="1"/>
  <c r="M747" i="13"/>
  <c r="G484" i="13"/>
  <c r="M484" i="13"/>
  <c r="J498" i="13"/>
  <c r="J497" i="13" s="1"/>
  <c r="J484" i="13" s="1"/>
  <c r="L504" i="13"/>
  <c r="I758" i="13"/>
  <c r="M758" i="13"/>
  <c r="J513" i="13"/>
  <c r="J510" i="13" s="1"/>
  <c r="L523" i="13"/>
  <c r="L526" i="13"/>
  <c r="L534" i="13"/>
  <c r="L533" i="13" s="1"/>
  <c r="L536" i="13"/>
  <c r="L539" i="13"/>
  <c r="L541" i="13"/>
  <c r="L553" i="13"/>
  <c r="L550" i="13" s="1"/>
  <c r="J760" i="13"/>
  <c r="G39" i="12" s="1"/>
  <c r="L561" i="13"/>
  <c r="J564" i="13"/>
  <c r="J563" i="13" s="1"/>
  <c r="J761" i="13" s="1"/>
  <c r="L590" i="13"/>
  <c r="L589" i="13" s="1"/>
  <c r="G604" i="13"/>
  <c r="I604" i="13"/>
  <c r="K604" i="13"/>
  <c r="M604" i="13"/>
  <c r="L613" i="13"/>
  <c r="L612" i="13" s="1"/>
  <c r="L611" i="13" s="1"/>
  <c r="J651" i="13"/>
  <c r="L677" i="13"/>
  <c r="L676" i="13" s="1"/>
  <c r="L675" i="13" s="1"/>
  <c r="L674" i="13" s="1"/>
  <c r="M769" i="13"/>
  <c r="G772" i="13"/>
  <c r="I772" i="13"/>
  <c r="K772" i="13"/>
  <c r="N772" i="13"/>
  <c r="J792" i="13"/>
  <c r="N698" i="13"/>
  <c r="N697" i="13" s="1"/>
  <c r="N696" i="13" s="1"/>
  <c r="N695" i="13" s="1"/>
  <c r="P705" i="13"/>
  <c r="L718" i="13"/>
  <c r="L717" i="13" s="1"/>
  <c r="L716" i="13" s="1"/>
  <c r="L772" i="13" s="1"/>
  <c r="L685" i="13"/>
  <c r="L704" i="13"/>
  <c r="L703" i="13" s="1"/>
  <c r="L695" i="13" s="1"/>
  <c r="E81" i="12"/>
  <c r="I337" i="13" l="1"/>
  <c r="I325" i="13" s="1"/>
  <c r="I736" i="13"/>
  <c r="I286" i="13"/>
  <c r="I786" i="13" s="1"/>
  <c r="M764" i="13"/>
  <c r="H753" i="13"/>
  <c r="M20" i="13"/>
  <c r="I765" i="13"/>
  <c r="J767" i="13"/>
  <c r="G46" i="12" s="1"/>
  <c r="N160" i="13"/>
  <c r="N767" i="13" s="1"/>
  <c r="N183" i="13"/>
  <c r="N182" i="13" s="1"/>
  <c r="L684" i="13"/>
  <c r="L683" i="13" s="1"/>
  <c r="G765" i="13"/>
  <c r="F81" i="12"/>
  <c r="G420" i="13"/>
  <c r="G419" i="13" s="1"/>
  <c r="H427" i="13"/>
  <c r="H736" i="13"/>
  <c r="E733" i="13" s="1"/>
  <c r="K736" i="13"/>
  <c r="H12" i="12" s="1"/>
  <c r="G358" i="13"/>
  <c r="G355" i="13" s="1"/>
  <c r="K767" i="13"/>
  <c r="H46" i="12" s="1"/>
  <c r="K11" i="15"/>
  <c r="L570" i="13"/>
  <c r="L640" i="13"/>
  <c r="J639" i="13"/>
  <c r="L639" i="13"/>
  <c r="L635" i="13" s="1"/>
  <c r="H57" i="12"/>
  <c r="I57" i="12" s="1"/>
  <c r="L510" i="13"/>
  <c r="L538" i="13"/>
  <c r="J111" i="13"/>
  <c r="J764" i="13" s="1"/>
  <c r="G43" i="12" s="1"/>
  <c r="L145" i="13"/>
  <c r="J624" i="13"/>
  <c r="J623" i="13" s="1"/>
  <c r="J745" i="13"/>
  <c r="G24" i="12"/>
  <c r="L111" i="13"/>
  <c r="N758" i="13"/>
  <c r="C23" i="15"/>
  <c r="N574" i="13"/>
  <c r="J40" i="13"/>
  <c r="J775" i="13" s="1"/>
  <c r="G54" i="12" s="1"/>
  <c r="K743" i="13"/>
  <c r="H21" i="12" s="1"/>
  <c r="M753" i="13"/>
  <c r="M752" i="13"/>
  <c r="K783" i="13"/>
  <c r="H63" i="12" s="1"/>
  <c r="K766" i="13"/>
  <c r="H45" i="12" s="1"/>
  <c r="H751" i="13"/>
  <c r="H20" i="13"/>
  <c r="H773" i="13" s="1"/>
  <c r="H774" i="13"/>
  <c r="K782" i="13"/>
  <c r="H62" i="12" s="1"/>
  <c r="J782" i="13"/>
  <c r="G62" i="12" s="1"/>
  <c r="G751" i="13"/>
  <c r="M736" i="13"/>
  <c r="G774" i="13"/>
  <c r="K792" i="13"/>
  <c r="H72" i="12" s="1"/>
  <c r="K256" i="13"/>
  <c r="K760" i="13"/>
  <c r="H39" i="12" s="1"/>
  <c r="K774" i="13"/>
  <c r="K773" i="13" s="1"/>
  <c r="H426" i="13"/>
  <c r="I427" i="13"/>
  <c r="I733" i="13" s="1"/>
  <c r="I522" i="13"/>
  <c r="I759" i="13" s="1"/>
  <c r="L327" i="13"/>
  <c r="L326" i="13" s="1"/>
  <c r="G174" i="13"/>
  <c r="J695" i="13"/>
  <c r="J694" i="13" s="1"/>
  <c r="J673" i="13" s="1"/>
  <c r="L623" i="13"/>
  <c r="M762" i="13"/>
  <c r="I783" i="13"/>
  <c r="I635" i="13"/>
  <c r="I784" i="13"/>
  <c r="I174" i="13"/>
  <c r="H785" i="13"/>
  <c r="H337" i="13"/>
  <c r="H325" i="13" s="1"/>
  <c r="M768" i="13"/>
  <c r="I768" i="13"/>
  <c r="I283" i="13"/>
  <c r="I282" i="13" s="1"/>
  <c r="L268" i="13"/>
  <c r="L267" i="13" s="1"/>
  <c r="H758" i="13"/>
  <c r="E757" i="13" s="1"/>
  <c r="K756" i="13"/>
  <c r="K751" i="13" s="1"/>
  <c r="I105" i="13"/>
  <c r="L83" i="13"/>
  <c r="L779" i="13" s="1"/>
  <c r="I20" i="13"/>
  <c r="I12" i="13" s="1"/>
  <c r="L433" i="13"/>
  <c r="L432" i="13" s="1"/>
  <c r="L735" i="13" s="1"/>
  <c r="I11" i="12" s="1"/>
  <c r="K765" i="13"/>
  <c r="H44" i="12" s="1"/>
  <c r="G427" i="13"/>
  <c r="M765" i="13"/>
  <c r="J635" i="13"/>
  <c r="H765" i="13"/>
  <c r="J522" i="13"/>
  <c r="M427" i="13"/>
  <c r="M733" i="13" s="1"/>
  <c r="H419" i="13"/>
  <c r="H747" i="13"/>
  <c r="N639" i="13"/>
  <c r="N635" i="13" s="1"/>
  <c r="L583" i="13"/>
  <c r="L582" i="13" s="1"/>
  <c r="L574" i="13" s="1"/>
  <c r="G20" i="13"/>
  <c r="I419" i="13"/>
  <c r="I747" i="13"/>
  <c r="J791" i="13"/>
  <c r="G72" i="12"/>
  <c r="L793" i="13"/>
  <c r="I74" i="12"/>
  <c r="L798" i="13"/>
  <c r="I76" i="12"/>
  <c r="J793" i="13"/>
  <c r="G74" i="12"/>
  <c r="J798" i="13"/>
  <c r="G76" i="12"/>
  <c r="N179" i="13"/>
  <c r="N784" i="13" s="1"/>
  <c r="L497" i="13"/>
  <c r="G105" i="13"/>
  <c r="G97" i="13" s="1"/>
  <c r="H105" i="13"/>
  <c r="J784" i="13"/>
  <c r="G64" i="12" s="1"/>
  <c r="J174" i="13"/>
  <c r="L193" i="13"/>
  <c r="L189" i="13" s="1"/>
  <c r="L179" i="13" s="1"/>
  <c r="K784" i="13"/>
  <c r="C35" i="15"/>
  <c r="K23" i="15"/>
  <c r="H768" i="13"/>
  <c r="K286" i="13"/>
  <c r="J317" i="13"/>
  <c r="J308" i="13" s="1"/>
  <c r="J21" i="13"/>
  <c r="J774" i="13" s="1"/>
  <c r="K317" i="13"/>
  <c r="K804" i="13" s="1"/>
  <c r="H80" i="12" s="1"/>
  <c r="L21" i="13"/>
  <c r="L774" i="13" s="1"/>
  <c r="J203" i="13"/>
  <c r="G733" i="13"/>
  <c r="E773" i="13"/>
  <c r="L338" i="13"/>
  <c r="L781" i="13" s="1"/>
  <c r="I61" i="12" s="1"/>
  <c r="M522" i="13"/>
  <c r="M759" i="13" s="1"/>
  <c r="L558" i="13"/>
  <c r="L557" i="13" s="1"/>
  <c r="L760" i="13" s="1"/>
  <c r="I39" i="12" s="1"/>
  <c r="M97" i="13"/>
  <c r="K337" i="13"/>
  <c r="K325" i="13" s="1"/>
  <c r="M35" i="15"/>
  <c r="N35" i="15"/>
  <c r="H26" i="12"/>
  <c r="H25" i="12" s="1"/>
  <c r="K793" i="13"/>
  <c r="J355" i="13"/>
  <c r="J337" i="13" s="1"/>
  <c r="M337" i="13"/>
  <c r="M325" i="13" s="1"/>
  <c r="L421" i="13"/>
  <c r="K745" i="13"/>
  <c r="H22" i="12"/>
  <c r="I22" i="12" s="1"/>
  <c r="K798" i="13"/>
  <c r="G769" i="13"/>
  <c r="G694" i="13"/>
  <c r="G673" i="13" s="1"/>
  <c r="L293" i="13"/>
  <c r="L292" i="13" s="1"/>
  <c r="N358" i="13"/>
  <c r="N355" i="13" s="1"/>
  <c r="N337" i="13" s="1"/>
  <c r="N325" i="13" s="1"/>
  <c r="L160" i="13"/>
  <c r="L749" i="13"/>
  <c r="K432" i="13"/>
  <c r="K694" i="13"/>
  <c r="K673" i="13" s="1"/>
  <c r="K769" i="13"/>
  <c r="H48" i="12" s="1"/>
  <c r="H47" i="12" s="1"/>
  <c r="G759" i="13"/>
  <c r="G509" i="13"/>
  <c r="G757" i="13" s="1"/>
  <c r="G337" i="13"/>
  <c r="G325" i="13" s="1"/>
  <c r="G783" i="13"/>
  <c r="M509" i="13"/>
  <c r="M757" i="13" s="1"/>
  <c r="L407" i="13"/>
  <c r="L785" i="13" s="1"/>
  <c r="I65" i="12" s="1"/>
  <c r="I509" i="13"/>
  <c r="I757" i="13" s="1"/>
  <c r="L345" i="13"/>
  <c r="J766" i="13"/>
  <c r="G45" i="12" s="1"/>
  <c r="J736" i="13"/>
  <c r="J427" i="13"/>
  <c r="N787" i="13"/>
  <c r="N286" i="13"/>
  <c r="N786" i="13" s="1"/>
  <c r="N174" i="13"/>
  <c r="I31" i="12"/>
  <c r="L242" i="13"/>
  <c r="I53" i="12"/>
  <c r="L770" i="13"/>
  <c r="L604" i="13"/>
  <c r="L769" i="13"/>
  <c r="L694" i="13"/>
  <c r="N769" i="13"/>
  <c r="N694" i="13"/>
  <c r="N768" i="13" s="1"/>
  <c r="J756" i="13"/>
  <c r="J751" i="13" s="1"/>
  <c r="L544" i="13"/>
  <c r="L543" i="13" s="1"/>
  <c r="L522" i="13" s="1"/>
  <c r="N545" i="13"/>
  <c r="N544" i="13" s="1"/>
  <c r="N543" i="13" s="1"/>
  <c r="N781" i="13"/>
  <c r="N738" i="13"/>
  <c r="N204" i="13"/>
  <c r="K764" i="13"/>
  <c r="H43" i="12" s="1"/>
  <c r="K105" i="13"/>
  <c r="K97" i="13" s="1"/>
  <c r="N756" i="13"/>
  <c r="N751" i="13" s="1"/>
  <c r="N484" i="13"/>
  <c r="L746" i="13"/>
  <c r="L230" i="13"/>
  <c r="L740" i="13"/>
  <c r="L204" i="13"/>
  <c r="N763" i="13"/>
  <c r="L286" i="13"/>
  <c r="L792" i="13"/>
  <c r="K768" i="13"/>
  <c r="H733" i="13"/>
  <c r="L14" i="13"/>
  <c r="N569" i="13"/>
  <c r="L766" i="13"/>
  <c r="I45" i="12" s="1"/>
  <c r="N28" i="13"/>
  <c r="N27" i="13" s="1"/>
  <c r="N21" i="13" s="1"/>
  <c r="G203" i="13"/>
  <c r="H203" i="13"/>
  <c r="N775" i="13"/>
  <c r="I780" i="13"/>
  <c r="N765" i="13"/>
  <c r="M780" i="13"/>
  <c r="J758" i="13"/>
  <c r="G37" i="12" s="1"/>
  <c r="J509" i="13"/>
  <c r="L734" i="13"/>
  <c r="L439" i="13"/>
  <c r="L438" i="13" s="1"/>
  <c r="L736" i="13" s="1"/>
  <c r="I12" i="12" s="1"/>
  <c r="N440" i="13"/>
  <c r="N439" i="13" s="1"/>
  <c r="N438" i="13" s="1"/>
  <c r="L802" i="13"/>
  <c r="I78" i="12" s="1"/>
  <c r="M788" i="13"/>
  <c r="M286" i="13"/>
  <c r="M786" i="13" s="1"/>
  <c r="L758" i="13"/>
  <c r="I37" i="12" s="1"/>
  <c r="H54" i="12"/>
  <c r="K20" i="13"/>
  <c r="K12" i="13" s="1"/>
  <c r="I773" i="13"/>
  <c r="G773" i="13"/>
  <c r="G12" i="13"/>
  <c r="M773" i="13"/>
  <c r="M12" i="13"/>
  <c r="L358" i="13"/>
  <c r="L355" i="13" s="1"/>
  <c r="J325" i="13"/>
  <c r="J765" i="13"/>
  <c r="G44" i="12" s="1"/>
  <c r="I762" i="13"/>
  <c r="E780" i="13"/>
  <c r="G762" i="13"/>
  <c r="N744" i="13"/>
  <c r="L40" i="13"/>
  <c r="E751" i="13"/>
  <c r="N115" i="13"/>
  <c r="N114" i="13" s="1"/>
  <c r="N111" i="13" s="1"/>
  <c r="N764" i="13" s="1"/>
  <c r="H12" i="13" l="1"/>
  <c r="G780" i="13"/>
  <c r="I203" i="13"/>
  <c r="J105" i="13"/>
  <c r="J97" i="13" s="1"/>
  <c r="H35" i="12"/>
  <c r="J769" i="13"/>
  <c r="H780" i="13"/>
  <c r="I97" i="13"/>
  <c r="L569" i="13"/>
  <c r="G747" i="13"/>
  <c r="L767" i="13"/>
  <c r="I46" i="12" s="1"/>
  <c r="L763" i="13"/>
  <c r="I42" i="12" s="1"/>
  <c r="L745" i="13"/>
  <c r="I24" i="12"/>
  <c r="J759" i="13"/>
  <c r="G38" i="12" s="1"/>
  <c r="J23" i="12"/>
  <c r="G23" i="12"/>
  <c r="K759" i="13"/>
  <c r="H38" i="12" s="1"/>
  <c r="K35" i="15"/>
  <c r="J783" i="13"/>
  <c r="G63" i="12" s="1"/>
  <c r="G60" i="12" s="1"/>
  <c r="K791" i="13"/>
  <c r="K509" i="13"/>
  <c r="L337" i="13"/>
  <c r="L325" i="13" s="1"/>
  <c r="L782" i="13"/>
  <c r="I62" i="12" s="1"/>
  <c r="K635" i="13"/>
  <c r="L775" i="13"/>
  <c r="I54" i="12" s="1"/>
  <c r="I774" i="13"/>
  <c r="M751" i="13"/>
  <c r="L484" i="13"/>
  <c r="L756" i="13"/>
  <c r="H29" i="12"/>
  <c r="J29" i="12"/>
  <c r="J20" i="13"/>
  <c r="J12" i="13" s="1"/>
  <c r="H53" i="12"/>
  <c r="L673" i="13"/>
  <c r="O673" i="13" s="1"/>
  <c r="M805" i="13"/>
  <c r="L174" i="13"/>
  <c r="L784" i="13"/>
  <c r="I64" i="12" s="1"/>
  <c r="L791" i="13"/>
  <c r="I72" i="12"/>
  <c r="G35" i="12"/>
  <c r="L768" i="13"/>
  <c r="I48" i="12"/>
  <c r="I47" i="12" s="1"/>
  <c r="J773" i="13"/>
  <c r="G53" i="12"/>
  <c r="J60" i="12"/>
  <c r="J733" i="13"/>
  <c r="G12" i="12"/>
  <c r="J75" i="12"/>
  <c r="G75" i="12"/>
  <c r="G73" i="12"/>
  <c r="J73" i="12"/>
  <c r="J71" i="12"/>
  <c r="G71" i="12"/>
  <c r="H97" i="13"/>
  <c r="H762" i="13"/>
  <c r="H805" i="13" s="1"/>
  <c r="H64" i="12"/>
  <c r="H60" i="12" s="1"/>
  <c r="K780" i="13"/>
  <c r="J41" i="12"/>
  <c r="G41" i="12"/>
  <c r="K801" i="13"/>
  <c r="L317" i="13"/>
  <c r="K308" i="13"/>
  <c r="K203" i="13" s="1"/>
  <c r="L759" i="13"/>
  <c r="J804" i="13"/>
  <c r="N673" i="13"/>
  <c r="N522" i="13"/>
  <c r="N759" i="13" s="1"/>
  <c r="J757" i="13"/>
  <c r="M426" i="13"/>
  <c r="G426" i="13"/>
  <c r="G730" i="13" s="1"/>
  <c r="K762" i="13"/>
  <c r="I26" i="12"/>
  <c r="I25" i="12" s="1"/>
  <c r="H71" i="12"/>
  <c r="I71" i="12"/>
  <c r="H75" i="12"/>
  <c r="I75" i="12"/>
  <c r="L420" i="13"/>
  <c r="L419" i="13" s="1"/>
  <c r="L748" i="13"/>
  <c r="L747" i="13" s="1"/>
  <c r="H73" i="12"/>
  <c r="I73" i="12"/>
  <c r="H77" i="12"/>
  <c r="H23" i="12"/>
  <c r="I23" i="12"/>
  <c r="H730" i="13"/>
  <c r="G768" i="13"/>
  <c r="G805" i="13" s="1"/>
  <c r="K735" i="13"/>
  <c r="K427" i="13"/>
  <c r="L509" i="13"/>
  <c r="I805" i="13"/>
  <c r="I426" i="13"/>
  <c r="I730" i="13" s="1"/>
  <c r="N736" i="13"/>
  <c r="N427" i="13"/>
  <c r="N733" i="13" s="1"/>
  <c r="L764" i="13"/>
  <c r="I43" i="12" s="1"/>
  <c r="L105" i="13"/>
  <c r="L97" i="13" s="1"/>
  <c r="O97" i="13" s="1"/>
  <c r="N774" i="13"/>
  <c r="N20" i="13"/>
  <c r="J762" i="13"/>
  <c r="E762" i="13"/>
  <c r="L427" i="13"/>
  <c r="M203" i="13"/>
  <c r="M730" i="13" s="1"/>
  <c r="N783" i="13"/>
  <c r="N780" i="13"/>
  <c r="L783" i="13"/>
  <c r="L765" i="13"/>
  <c r="I44" i="12" s="1"/>
  <c r="L13" i="13"/>
  <c r="N203" i="13"/>
  <c r="L733" i="13"/>
  <c r="N105" i="13"/>
  <c r="L20" i="13"/>
  <c r="J426" i="13"/>
  <c r="L773" i="13" l="1"/>
  <c r="G48" i="12"/>
  <c r="J768" i="13"/>
  <c r="E768" i="13"/>
  <c r="G36" i="12"/>
  <c r="J36" i="12"/>
  <c r="J780" i="13"/>
  <c r="K426" i="13"/>
  <c r="O427" i="13" s="1"/>
  <c r="H11" i="12"/>
  <c r="K733" i="13"/>
  <c r="L751" i="13"/>
  <c r="I35" i="12"/>
  <c r="I29" i="12" s="1"/>
  <c r="N509" i="13"/>
  <c r="N757" i="13" s="1"/>
  <c r="J801" i="13"/>
  <c r="G80" i="12"/>
  <c r="G9" i="12"/>
  <c r="J9" i="12"/>
  <c r="L757" i="13"/>
  <c r="I38" i="12"/>
  <c r="J52" i="12"/>
  <c r="G52" i="12"/>
  <c r="G29" i="12"/>
  <c r="L780" i="13"/>
  <c r="I63" i="12"/>
  <c r="I60" i="12" s="1"/>
  <c r="L804" i="13"/>
  <c r="L308" i="13"/>
  <c r="L203" i="13" s="1"/>
  <c r="O203" i="13" s="1"/>
  <c r="J805" i="13"/>
  <c r="K757" i="13"/>
  <c r="I41" i="12"/>
  <c r="H41" i="12"/>
  <c r="I52" i="12"/>
  <c r="H52" i="12"/>
  <c r="J730" i="13"/>
  <c r="N97" i="13"/>
  <c r="N762" i="13"/>
  <c r="L12" i="13"/>
  <c r="L762" i="13"/>
  <c r="N773" i="13"/>
  <c r="N12" i="13"/>
  <c r="L426" i="13"/>
  <c r="O426" i="13" s="1"/>
  <c r="N426" i="13"/>
  <c r="J47" i="12" l="1"/>
  <c r="G47" i="12"/>
  <c r="K730" i="13"/>
  <c r="J10" i="12"/>
  <c r="L801" i="13"/>
  <c r="I80" i="12"/>
  <c r="I77" i="12" s="1"/>
  <c r="J77" i="12"/>
  <c r="G77" i="12"/>
  <c r="G81" i="12" s="1"/>
  <c r="G83" i="12" s="1"/>
  <c r="L805" i="13"/>
  <c r="I81" i="12" s="1"/>
  <c r="I83" i="12" s="1"/>
  <c r="J806" i="13"/>
  <c r="K805" i="13"/>
  <c r="I36" i="12"/>
  <c r="H36" i="12"/>
  <c r="I9" i="12"/>
  <c r="H9" i="12"/>
  <c r="N730" i="13"/>
  <c r="N732" i="13" s="1"/>
  <c r="N805" i="13"/>
  <c r="L730" i="13"/>
  <c r="J731" i="13" s="1"/>
  <c r="O12" i="13"/>
  <c r="R12" i="13" s="1"/>
  <c r="H81" i="12" l="1"/>
  <c r="H83" i="12" s="1"/>
  <c r="K807" i="13"/>
  <c r="L732" i="13"/>
</calcChain>
</file>

<file path=xl/sharedStrings.xml><?xml version="1.0" encoding="utf-8"?>
<sst xmlns="http://schemas.openxmlformats.org/spreadsheetml/2006/main" count="8497" uniqueCount="1229">
  <si>
    <t>А</t>
  </si>
  <si>
    <t>1.1.</t>
  </si>
  <si>
    <t>1.2.</t>
  </si>
  <si>
    <t>1.3.</t>
  </si>
  <si>
    <t>1.4.</t>
  </si>
  <si>
    <t>1.5.</t>
  </si>
  <si>
    <t>Иные межбюджетные трансферты</t>
  </si>
  <si>
    <t>3.1.</t>
  </si>
  <si>
    <t>РАСПРЕДЕЛЕНИЕ</t>
  </si>
  <si>
    <t>расходов бюджета муниципального образования  "Онгудайский район" на 2011 год                                           по разделам и подразделам   классификации расходов бюджетов Российской Федерации</t>
  </si>
  <si>
    <t>тыс.рублей</t>
  </si>
  <si>
    <t>Наименование разделов и подразделов</t>
  </si>
  <si>
    <t>Рз</t>
  </si>
  <si>
    <t>Пр</t>
  </si>
  <si>
    <t>Сумма на 2009 год</t>
  </si>
  <si>
    <t xml:space="preserve">Изменения и дополнения </t>
  </si>
  <si>
    <t>Сумма на  2011 г.</t>
  </si>
  <si>
    <t>Сумма на утверждение 2011 г.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</si>
  <si>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</si>
  <si>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</si>
  <si>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</si>
  <si>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</si>
  <si>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</si>
  <si>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</si>
  <si>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</si>
  <si>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</si>
  <si>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</si>
  <si>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</si>
  <si>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</si>
  <si>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</si>
  <si>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</si>
  <si>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</si>
  <si>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</si>
  <si>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</si>
  <si>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</si>
  <si>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</si>
  <si>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</si>
  <si>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</si>
  <si>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</si>
  <si>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</si>
  <si>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</si>
  <si>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</si>
  <si>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</si>
  <si>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</si>
  <si>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</si>
  <si>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</si>
  <si>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</si>
  <si>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</si>
  <si>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</si>
  <si>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</si>
  <si>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</si>
  <si>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</si>
  <si>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</si>
  <si>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</si>
  <si>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</si>
  <si>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</si>
  <si>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</si>
  <si>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</si>
  <si>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</si>
  <si>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</si>
  <si>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</si>
  <si>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</si>
  <si>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</si>
  <si>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</si>
  <si>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</si>
  <si>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</si>
  <si>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</si>
  <si>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</si>
  <si>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</si>
  <si>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</si>
  <si>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</si>
  <si>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</si>
  <si>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</si>
  <si>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</si>
  <si>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</si>
  <si>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>Другие вопросы в области культуры, кинематографии и стредств массовой информации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</si>
  <si>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</si>
  <si>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</si>
  <si>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</si>
  <si>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</si>
  <si>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</si>
  <si>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Прикладные научные исследования в области здравоохранения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</si>
  <si>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</si>
  <si>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</si>
  <si>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</si>
  <si>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</si>
  <si>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</si>
  <si>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</si>
  <si>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</si>
  <si>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</si>
  <si>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</si>
  <si>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</si>
  <si>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</si>
  <si>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</si>
  <si>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</si>
  <si>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</si>
  <si>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 и муниципальных образований (межбюджетные субсидии)</t>
  </si>
  <si>
    <t xml:space="preserve">Субвенции   бюджетам субъектов Российской Федерации и муниципальных образований </t>
  </si>
  <si>
    <t>Физическая культура</t>
  </si>
  <si>
    <t>Средства массовой информации</t>
  </si>
  <si>
    <t>1200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</si>
  <si>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</si>
  <si>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</si>
  <si>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</si>
  <si>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</si>
  <si>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</si>
  <si>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</si>
  <si>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</si>
  <si>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</si>
  <si>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Распределение </t>
  </si>
  <si>
    <t>расходов бюджета муниципального образования  "Онгудайский район" по главным распорядителям бюджетных средств, разделам, подразделам, целевым статьям расходов, видам расходов  классификации расходов бюджетов Российской Федерации на 2011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</si>
  <si>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</si>
  <si>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</si>
  <si>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</si>
  <si>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</si>
  <si>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2011г (тыс.руб.)</t>
  </si>
  <si>
    <t>Сумма на утверждение   2011г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</si>
  <si>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</si>
  <si>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</si>
  <si>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1"/>
        <rFont val="Times New Roman"/>
        <family val="1"/>
        <charset val="204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</si>
  <si>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</si>
  <si>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</si>
  <si>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</si>
  <si>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</si>
  <si>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МУЗ  Онгудайская ЦРБ</t>
  </si>
  <si>
    <t>055</t>
  </si>
  <si>
    <t xml:space="preserve">Образование </t>
  </si>
  <si>
    <t>Профессиональная подготовка, переподготовка и повышение квалификации кадров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</si>
  <si>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</si>
  <si>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</si>
  <si>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</si>
  <si>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</si>
  <si>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</si>
  <si>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</si>
  <si>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4340000</t>
  </si>
  <si>
    <t>Выполнение функций органами местного самоуправления</t>
  </si>
  <si>
    <t>Здравоохранение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</si>
  <si>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</si>
  <si>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0700400</t>
  </si>
  <si>
    <t xml:space="preserve">Резервный фонд Правительства Республики Алтай </t>
  </si>
  <si>
    <t>0700402</t>
  </si>
  <si>
    <t>Выполнение функций  бюджетными учреждениями</t>
  </si>
  <si>
    <t>001</t>
  </si>
  <si>
    <t>Больницы, клиники, госпитали, медико- санитарные части</t>
  </si>
  <si>
    <t>4700000</t>
  </si>
  <si>
    <t>Обеспечение деятельности подведомственных учреждений</t>
  </si>
  <si>
    <t>4709900</t>
  </si>
  <si>
    <t>Выполнение функций бюджетными учреждениями, за счет средств от предпринимательской и иной приносящей доход деятельности</t>
  </si>
  <si>
    <t>4709901</t>
  </si>
  <si>
    <t>Поликлиники, амбулатории, диагностические центры</t>
  </si>
  <si>
    <t>4710000</t>
  </si>
  <si>
    <t>4719900</t>
  </si>
  <si>
    <t>Выполнение функций бюджетными учреждениями</t>
  </si>
  <si>
    <t>Субсидии на капитальный,текущий ремонт объектов социо-культурной сферы</t>
  </si>
  <si>
    <t>4709902</t>
  </si>
  <si>
    <t>Софинансирование субсидии на кап.,текущий ремонт объктов социо-культ.сферы</t>
  </si>
  <si>
    <t>4709903</t>
  </si>
  <si>
    <t>Территориальная программа государственных гарантий оказания гражданам РФ на территории РА бесплатной медицинской помощи</t>
  </si>
  <si>
    <t>7959100</t>
  </si>
  <si>
    <t>Мероприятия по реализации проекта в рамках преимущественно одноканального финансирования</t>
  </si>
  <si>
    <t>797</t>
  </si>
  <si>
    <t>4719902</t>
  </si>
  <si>
    <t>4719903</t>
  </si>
  <si>
    <t>Фельдшерско- акушерские пункты</t>
  </si>
  <si>
    <t>4780000</t>
  </si>
  <si>
    <t>4789900</t>
  </si>
  <si>
    <t>4789902</t>
  </si>
  <si>
    <t>4789903</t>
  </si>
  <si>
    <t>Финансовое обеспечение государственного задания в соответствии с программой  государственных гарантий  оказания гражданам РФ бесплаттной мед.помощи на оказание дополнительной бесплатной  медицинской помощи, оказыавемой врачами - трапевтами участковыми, врачами-педиатрами участковыми, врачами общей практики и медицинскими сестрами врачей -терапевтов, врачей -педиатров участковыми и  врачей общей практики</t>
  </si>
  <si>
    <t>5054100</t>
  </si>
  <si>
    <t>Иные безвозмездные и безвозвратные перечисления</t>
  </si>
  <si>
    <t>5200000</t>
  </si>
  <si>
    <t>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</si>
  <si>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5201800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</si>
  <si>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</si>
  <si>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</si>
  <si>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</si>
  <si>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</si>
  <si>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</si>
  <si>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"Вакцинопрофилактика заболеваний, управляемых иммунизацией в МО "Онгудайский район" на 2011-2013г"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</si>
  <si>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</si>
  <si>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</si>
  <si>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"О мерах по предупреждению дальнейшего распространения заболеваний, вызываемого иммунодефицита человека и вирусного гепатитов В и С  на 2011-2013г"</t>
  </si>
  <si>
    <t>МЦП "Скорая медицинская помощь в МО "Онгудайский район" на 2011-2013г"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</si>
  <si>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</si>
  <si>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</si>
  <si>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</si>
  <si>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</si>
  <si>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</si>
  <si>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</si>
  <si>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</si>
  <si>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</si>
  <si>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</si>
  <si>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</si>
  <si>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</si>
  <si>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</si>
  <si>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</si>
  <si>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</si>
  <si>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4209901</t>
  </si>
  <si>
    <t>Резервный фонд Президента Российской Федерации</t>
  </si>
  <si>
    <t>0700200</t>
  </si>
  <si>
    <t>Школы- детские сады, школы начальные, неполные средние и средние</t>
  </si>
  <si>
    <t>4210000</t>
  </si>
  <si>
    <t>4219900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</si>
  <si>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</si>
  <si>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</si>
  <si>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</si>
  <si>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</si>
  <si>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</si>
  <si>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</si>
  <si>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</si>
  <si>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</si>
  <si>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</si>
  <si>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</si>
  <si>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</si>
  <si>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</si>
  <si>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4239902</t>
  </si>
  <si>
    <t>4239903</t>
  </si>
  <si>
    <t>Ежемесячное денежное вознаграждение за классное руководство в государственных и муниципальных  общеобразовательных учреждениях</t>
  </si>
  <si>
    <t>5200900</t>
  </si>
  <si>
    <t>Государственная поддержка внедрения комплексных мер модернизации образования</t>
  </si>
  <si>
    <t>Подпрограмма "Развитие юношеского спорта в муниципальном образовании "Онгудайский район" на 2006-2009 годы"</t>
  </si>
  <si>
    <t>7952003</t>
  </si>
  <si>
    <t>Мероприятия в сфере образования</t>
  </si>
  <si>
    <t>022</t>
  </si>
  <si>
    <t>МЦП "Энергосбережение в МО "Онгудайский район" на 2010-2015г"</t>
  </si>
  <si>
    <t>7952020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</si>
  <si>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</si>
  <si>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</si>
  <si>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</si>
  <si>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Оздоровление детей</t>
  </si>
  <si>
    <t>4320200</t>
  </si>
  <si>
    <t>Выполнение функций бюджетными учреждениями, за счет средств от  предпринимательской и иной приносящей доход деятельности</t>
  </si>
  <si>
    <t>4320201</t>
  </si>
  <si>
    <t>012</t>
  </si>
  <si>
    <t>Осуществление государственных полномочий по опеке и попечительству, соц.поддержке детей-сирот,безнадзорн.дет., дет.оставш.без попеч.родителей</t>
  </si>
  <si>
    <t>4365300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</si>
  <si>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</si>
  <si>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</si>
  <si>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>7952018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</si>
  <si>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</si>
  <si>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</si>
  <si>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</si>
  <si>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</si>
  <si>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</si>
  <si>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</si>
  <si>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</si>
  <si>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Выплата единовременного пособия при всех формах устройства детей лишенных родительского попечения, в семью</t>
  </si>
  <si>
    <t>5050502</t>
  </si>
  <si>
    <t>Предоставление дополнительных гарантий по социальной 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</si>
  <si>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5057200</t>
  </si>
  <si>
    <t>Мероприятия по борьбе с беспризорностью, по опеке и попечительству</t>
  </si>
  <si>
    <t>5110000</t>
  </si>
  <si>
    <t>Другие пособия и компенсации</t>
  </si>
  <si>
    <t>755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</si>
  <si>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</si>
  <si>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</si>
  <si>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>5201001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</si>
  <si>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</si>
  <si>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</si>
  <si>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</si>
  <si>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</si>
  <si>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Материальное обеспечение приемной семьи</t>
  </si>
  <si>
    <t>5201310</t>
  </si>
  <si>
    <t>Выплата приемной семье на содержание подопечных семей</t>
  </si>
  <si>
    <t>5201311</t>
  </si>
  <si>
    <t>Оплата труда приемного родителя</t>
  </si>
  <si>
    <t>5201312</t>
  </si>
  <si>
    <t>5201313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</si>
  <si>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</si>
  <si>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</si>
  <si>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</si>
  <si>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</si>
  <si>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</si>
  <si>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</si>
  <si>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РЦП "Поддержка реформирования общественных финансов на 2008-2009годы"</t>
  </si>
  <si>
    <t>5228800</t>
  </si>
  <si>
    <t>Выполнение функций  местными органами</t>
  </si>
  <si>
    <t>МЦП "Реформирование системы управления  общественными  финансами мо "Онгудайский район"  на 2008-2009годы"</t>
  </si>
  <si>
    <t>7952007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</si>
  <si>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</si>
  <si>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</si>
  <si>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</si>
  <si>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</si>
  <si>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</si>
  <si>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</si>
  <si>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</si>
  <si>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</si>
  <si>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</si>
  <si>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</si>
  <si>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</si>
  <si>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</si>
  <si>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</si>
  <si>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</si>
  <si>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</si>
  <si>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</si>
  <si>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</si>
  <si>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</si>
  <si>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Выполнение других обязательств государства</t>
  </si>
  <si>
    <t>Прочие расходы, финансируемые по поступлению доходов и источников  финансирования дефицита бюджтеа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</si>
  <si>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</si>
  <si>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</si>
  <si>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</si>
  <si>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</si>
  <si>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</si>
  <si>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</si>
  <si>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на поддержку малого и среднего предпринимательства, включая крестьянские (фермерские) хозяйства</t>
  </si>
  <si>
    <t>3450101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</si>
  <si>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</si>
  <si>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</si>
  <si>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</si>
  <si>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</si>
  <si>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</si>
  <si>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017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</si>
  <si>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</si>
  <si>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0980200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</si>
  <si>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</si>
  <si>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0980201</t>
  </si>
  <si>
    <t>Переподготовка и повышение квалификации</t>
  </si>
  <si>
    <t>КЦСР 5201500</t>
  </si>
  <si>
    <t>Культура,кинематография</t>
  </si>
  <si>
    <t>4429900</t>
  </si>
  <si>
    <t>4419900</t>
  </si>
  <si>
    <t xml:space="preserve">Физическая культура </t>
  </si>
  <si>
    <t>Выравнивание уровня бюджетной обеспеченности поселений из районного фонда фин.поддержки</t>
  </si>
  <si>
    <t>5160130</t>
  </si>
  <si>
    <t>Фонд финансовой поддержки</t>
  </si>
  <si>
    <t>008</t>
  </si>
  <si>
    <t>Субсидии бюджетам  субъектов Российской Федерации  и  муниципальных образований (межбюджетные субсидии)</t>
  </si>
  <si>
    <t>Субсидии бюджетам  муниципальных образований для софинансирования расходных обязательств, возникающих при выполнении  полномочий  органов местного самоуправления по вопросам местного значения</t>
  </si>
  <si>
    <t>8101000</t>
  </si>
  <si>
    <t>Субсидии на капитальный  и текущий ремонт  объектов  социально-культурной сферы</t>
  </si>
  <si>
    <t>8101001</t>
  </si>
  <si>
    <t>Фонд софинансирования</t>
  </si>
  <si>
    <t>010</t>
  </si>
  <si>
    <t>Субсидии на софинансирование  расходов на благоустройство</t>
  </si>
  <si>
    <t>8101002</t>
  </si>
  <si>
    <t>Субсидии на софинансирование  расходов  по решению  вопросов местного значения поселений, связанных с реализацией  Закона РФ  от06.10.2003г №131-ФЗ</t>
  </si>
  <si>
    <t>8101003</t>
  </si>
  <si>
    <t>Субвенции бюджетам субъектов  Российской Федерации и  муниципальных образований</t>
  </si>
  <si>
    <t>Осуществление  первичного  воинского учета на территориях, где отсутствуют военные комиссариаты</t>
  </si>
  <si>
    <t>Фонд компенсаций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</si>
  <si>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</si>
  <si>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</si>
  <si>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</si>
  <si>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</si>
  <si>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</si>
  <si>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</si>
  <si>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Фонд финансовой помощи</t>
  </si>
  <si>
    <t xml:space="preserve">Выравнивание бюджетной обеспеченности поселений из районного фонда финансовой поддержки </t>
  </si>
  <si>
    <t>87</t>
  </si>
  <si>
    <t>Отдел труда и социального развития  Онгудайского района</t>
  </si>
  <si>
    <t>150</t>
  </si>
  <si>
    <t>Обеспечение деятельности подведомственных  учреждений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</si>
  <si>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</si>
  <si>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4910200</t>
  </si>
  <si>
    <t>Доплаты к пенсиям государственных служащих субъектов Российской Федерации и муниципальных служащих</t>
  </si>
  <si>
    <t>4910100</t>
  </si>
  <si>
    <t>5056900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</si>
  <si>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</si>
  <si>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0016300</t>
  </si>
  <si>
    <t>Учреждения социального обслуживания населения</t>
  </si>
  <si>
    <t>5070000</t>
  </si>
  <si>
    <t>5079900</t>
  </si>
  <si>
    <t>5089900</t>
  </si>
  <si>
    <t>Социальная помощь</t>
  </si>
  <si>
    <t>5050000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</si>
  <si>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</si>
  <si>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</si>
  <si>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Обеспечение мер социальной поддержки для лиц, награжденных знаком "Почетный донор России"</t>
  </si>
  <si>
    <t>5052901</t>
  </si>
  <si>
    <t>Пособия по социальной помощи населению</t>
  </si>
  <si>
    <t>5053000</t>
  </si>
  <si>
    <t>Ежемесячное пособие на ребенка</t>
  </si>
  <si>
    <t>5053001</t>
  </si>
  <si>
    <t>Обеспечение мер социальной поддержки ветеранов труда и тружеников тыла</t>
  </si>
  <si>
    <t>5053101</t>
  </si>
  <si>
    <t>5053100</t>
  </si>
  <si>
    <t>Обеспечение мер социальной поддержки ветеранов труда РА</t>
  </si>
  <si>
    <t>5053110</t>
  </si>
  <si>
    <t>Обеспечение мер социальной поддержки ветеранов труда федер.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</si>
  <si>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Ленинграда"</t>
  </si>
  <si>
    <t>5053400</t>
  </si>
  <si>
    <t>5053402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</si>
  <si>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</si>
  <si>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</si>
  <si>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</si>
  <si>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</si>
  <si>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</si>
  <si>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5054700</t>
  </si>
  <si>
    <t>5054701</t>
  </si>
  <si>
    <t>Предоставление гражданам субсидий на оплату жилого помещения и коммунальных услуг</t>
  </si>
  <si>
    <t>5054800</t>
  </si>
  <si>
    <t>5054801</t>
  </si>
  <si>
    <t>5055511</t>
  </si>
  <si>
    <t>5055521</t>
  </si>
  <si>
    <t>5055530</t>
  </si>
  <si>
    <t>5055531</t>
  </si>
  <si>
    <t>Предоставление гарантированных услуг по погребению</t>
  </si>
  <si>
    <t>5056500</t>
  </si>
  <si>
    <t>Предоставление мер социальной поддержки ветеранам труда Республики Алтай</t>
  </si>
  <si>
    <t>5056600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</si>
  <si>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</si>
  <si>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5056700</t>
  </si>
  <si>
    <t>Предоставление мер социальной поддержки многодетным семьям</t>
  </si>
  <si>
    <t>5056800</t>
  </si>
  <si>
    <t>Оказание других видов социальной помощи</t>
  </si>
  <si>
    <t>5058500</t>
  </si>
  <si>
    <t>Реализация государственных функций в области социальной политики</t>
  </si>
  <si>
    <t>5140000</t>
  </si>
  <si>
    <t>5058501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</si>
  <si>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</si>
  <si>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</si>
  <si>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</si>
  <si>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</si>
  <si>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</si>
  <si>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Мероприятия в области социальной политики</t>
  </si>
  <si>
    <t>482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</si>
  <si>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</si>
  <si>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</si>
  <si>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</si>
  <si>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</si>
  <si>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</si>
  <si>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</si>
  <si>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</si>
  <si>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</si>
  <si>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</si>
  <si>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</si>
  <si>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</si>
  <si>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</si>
  <si>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</si>
  <si>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</si>
  <si>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</si>
  <si>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</si>
  <si>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>Софинансирование РЦП "Поддержка реформирования общественных финансов на 2008-2009годы"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</si>
  <si>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</si>
  <si>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</si>
  <si>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</si>
  <si>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</si>
  <si>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</si>
  <si>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</si>
  <si>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</si>
  <si>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</si>
  <si>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</si>
  <si>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</si>
  <si>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</si>
  <si>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</si>
  <si>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</si>
  <si>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</si>
  <si>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Субвенции на осуществление полномочий по подготовке и проведению переписи населения</t>
  </si>
  <si>
    <t>0014300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</si>
  <si>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</si>
  <si>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</si>
  <si>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</si>
  <si>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</si>
  <si>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</si>
  <si>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</si>
  <si>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</si>
  <si>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</si>
  <si>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</si>
  <si>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</si>
  <si>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</si>
  <si>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Дорожное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</si>
  <si>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</si>
  <si>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3150201</t>
  </si>
  <si>
    <t>ФЦП "Жилище" на 2008-2010г.г."Обеспечение земельных участков  коммунальной инфраструктурой  в целях жил.строительства</t>
  </si>
  <si>
    <t>5229606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</si>
  <si>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</si>
  <si>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</si>
  <si>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</si>
  <si>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</si>
  <si>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</si>
  <si>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</si>
  <si>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</si>
  <si>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</si>
  <si>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</si>
  <si>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</si>
  <si>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</si>
  <si>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</si>
  <si>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Мероприятия в области жилищного хозяйства</t>
  </si>
  <si>
    <t>3500300</t>
  </si>
  <si>
    <t>0980202</t>
  </si>
  <si>
    <t>Софинансирование объектов капитального строительства</t>
  </si>
  <si>
    <t>1001100</t>
  </si>
  <si>
    <t>ФЦП Преодоление последствий радиационных аварий" на период до 2010 года"</t>
  </si>
  <si>
    <t>1002900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</si>
  <si>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</si>
  <si>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</si>
  <si>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</si>
  <si>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Мероприятия в области коммунального хозяйства</t>
  </si>
  <si>
    <t>3510500</t>
  </si>
  <si>
    <t>Региональные целевые программы</t>
  </si>
  <si>
    <t>5220000</t>
  </si>
  <si>
    <t>РЦП Развитие АПК с 2011 до 2017г</t>
  </si>
  <si>
    <t>5222700</t>
  </si>
  <si>
    <t>5222702</t>
  </si>
  <si>
    <t>Региональная целевая программа "Отходы 2008-2010г.г"</t>
  </si>
  <si>
    <t>5229500</t>
  </si>
  <si>
    <t>Развитие социальной  и  инженерной инфраструктуры субъектов РФ и муниципальных образований</t>
  </si>
  <si>
    <t>5230000</t>
  </si>
  <si>
    <t>Капитальное строительство объектов муниципальных образований</t>
  </si>
  <si>
    <t>5230101</t>
  </si>
  <si>
    <t>Федеральная целевая программа «Преодоление последствий радиационных аварий на период до 2010 года»</t>
  </si>
  <si>
    <t>5230200</t>
  </si>
  <si>
    <t>Муниципальные целевые программы</t>
  </si>
  <si>
    <t>МЦП "Обеспечение населения Онгудайского района питьевой водой на 2011-2013г"</t>
  </si>
  <si>
    <t>7952021</t>
  </si>
  <si>
    <t>Благоустрой ство</t>
  </si>
  <si>
    <t>6000000</t>
  </si>
  <si>
    <t>Организация и содержание мест захоронения</t>
  </si>
  <si>
    <t>6000400</t>
  </si>
  <si>
    <t>Софинансирование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</si>
  <si>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Субсидии на реализацию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</si>
  <si>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Бюджетные инвестиции  в объекты капитального строительства собственности муниципальных образований</t>
  </si>
  <si>
    <t>Субсидии на реализацию РЦП "Развитие агропромышленного комплекса", на 2011-2017г</t>
  </si>
  <si>
    <t>Субсидии на реализацию РЦП "Демографическое развитие РА на 2010-2015г"</t>
  </si>
  <si>
    <t>5228400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</si>
  <si>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</si>
  <si>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Выполнение функций  государственными учреждениями</t>
  </si>
  <si>
    <t>Проведение мероприятий для детей и молодежи</t>
  </si>
  <si>
    <t>4310100</t>
  </si>
  <si>
    <t>Культура,кинематография, средства массовой информации</t>
  </si>
  <si>
    <t>Субсидии на реализацию РЦП Развитие АПК с 2009 до 2012г</t>
  </si>
  <si>
    <t>5222000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</si>
  <si>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</si>
  <si>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</si>
  <si>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</si>
  <si>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</si>
  <si>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</si>
  <si>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</si>
  <si>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Другие вопросы в области культуры,кинематографии, средств массовой информации</t>
  </si>
  <si>
    <t>Здравоохранение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</si>
  <si>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</si>
  <si>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</si>
  <si>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физической культуры, туризма</t>
  </si>
  <si>
    <t>5129700</t>
  </si>
  <si>
    <t>Федеральные целевые программы</t>
  </si>
  <si>
    <t>1000000</t>
  </si>
  <si>
    <t>Федеральная целевая программа «Социальное развитие села до 2010 года»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</si>
  <si>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</si>
  <si>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</si>
  <si>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ФЦП Жилище на 2002-2010г" подпрогр. "Обеспечение жильем молодых семей"</t>
  </si>
  <si>
    <t>1040200</t>
  </si>
  <si>
    <t>Субсидии на осуществление  расходов из местного бюджета  на обеспечение жильем молодых семей прожив.всельской местности</t>
  </si>
  <si>
    <t>5057500</t>
  </si>
  <si>
    <t>Программа муниципального образования "Онгудайский район" "Обеспечение молодых семей "на 2007-2010г.г</t>
  </si>
  <si>
    <t>7952008</t>
  </si>
  <si>
    <t>ФЦП Жилище на 2002-2010г" подпрогр. РЦП "Обеспечение жильем молодых семей"</t>
  </si>
  <si>
    <t>5229604</t>
  </si>
  <si>
    <t>Субсидии на проведение ремонта жилья гражданам из числа инвалидов и участников Великой Отечественной Войны , вдов погибших (умерших) участников Великой Отечественной Войны, труженников тыла</t>
  </si>
  <si>
    <t>8101008</t>
  </si>
  <si>
    <t xml:space="preserve">Отдел культуры, спорта и туризма </t>
  </si>
  <si>
    <t>810</t>
  </si>
  <si>
    <t>4319900</t>
  </si>
  <si>
    <t>Районная целевая программа "Рализация молодежной политики в Онгудайской районе на 2010-2013г"</t>
  </si>
  <si>
    <t>Культура, кинематография и средства массовой информации</t>
  </si>
  <si>
    <t>Библиотека</t>
  </si>
  <si>
    <t>4420000</t>
  </si>
  <si>
    <t>субсидии на кап.,текущий ремонт объктов социо-культ.сферы</t>
  </si>
  <si>
    <t>4429902</t>
  </si>
  <si>
    <t>4429903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</si>
  <si>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</si>
  <si>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</si>
  <si>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</si>
  <si>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</si>
  <si>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</si>
  <si>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</si>
  <si>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</si>
  <si>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Здравоохранение, физическая культура и спорт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</si>
  <si>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</si>
  <si>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</si>
  <si>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</si>
  <si>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</si>
  <si>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</si>
  <si>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</si>
  <si>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</si>
  <si>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</si>
  <si>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</si>
  <si>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</si>
  <si>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</si>
  <si>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</si>
  <si>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</si>
  <si>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</si>
  <si>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</si>
  <si>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</si>
  <si>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</si>
  <si>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</si>
  <si>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</si>
  <si>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</si>
  <si>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</si>
  <si>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</si>
  <si>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</si>
  <si>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</si>
  <si>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</si>
  <si>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</si>
  <si>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</si>
  <si>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</si>
  <si>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</si>
  <si>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</si>
  <si>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</si>
  <si>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</si>
  <si>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</si>
  <si>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</si>
  <si>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</si>
  <si>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</si>
  <si>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</si>
  <si>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</si>
  <si>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</si>
  <si>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</si>
  <si>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</si>
  <si>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</si>
  <si>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</si>
  <si>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</si>
  <si>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</si>
  <si>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</si>
  <si>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</si>
  <si>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Приложение 2</t>
  </si>
  <si>
    <t>ОБЪЕМ ПОСТУПЛЕНИЙ ДОХОДОВ ПО ОСНОВНЫМ ИСТОЧНИКАМ В 2011 ГОДУ</t>
  </si>
  <si>
    <t>Код главы  администратора</t>
  </si>
  <si>
    <t>Код бюджетной классификации Российской Федерации</t>
  </si>
  <si>
    <t>Наименование доходов</t>
  </si>
  <si>
    <t>Всего утверждено</t>
  </si>
  <si>
    <t>Отклонение (+,-)</t>
  </si>
  <si>
    <t>Сумма на утверждение</t>
  </si>
  <si>
    <t>000</t>
  </si>
  <si>
    <t xml:space="preserve"> 1 0000000 00 0000 000</t>
  </si>
  <si>
    <t>НАЛОГОВЫЕ И НЕНАЛОГОВЫЕ ДОХОДЫ</t>
  </si>
  <si>
    <t>НАЛОГОВЫЕ ДОХОДЫ</t>
  </si>
  <si>
    <t xml:space="preserve"> 1 0100000 00 0000 000</t>
  </si>
  <si>
    <t>НАЛОГИ НА ПРИБЫЛЬ, ДОХОДЫ</t>
  </si>
  <si>
    <t>182</t>
  </si>
  <si>
    <t xml:space="preserve"> 1 0102000 01 0000 110</t>
  </si>
  <si>
    <t>Налог на доходы физических лиц</t>
  </si>
  <si>
    <t xml:space="preserve"> 1 0102010 01 0000 110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</si>
  <si>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</si>
  <si>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1 0102020 01 0000 110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</si>
  <si>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</si>
  <si>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1 0102021 01 0000 110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</si>
  <si>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</si>
  <si>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</si>
  <si>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</si>
  <si>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</si>
  <si>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</si>
  <si>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1 0102040 01 0000 110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</si>
  <si>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  на процентах при получении  заемных (кредитных) средств.</t>
  </si>
  <si>
    <t>000 1 03 00000 00 0000 000</t>
  </si>
  <si>
    <t>НАЛОГИ НА ТОВАРЫ (РАБОТЫ, УСЛУГИ), РЕАЛИЗУЕМЫЕ НА ТЕРРИТОРИИ РОССИЙСКОЙ ФЕДЕРАЦИИ</t>
  </si>
  <si>
    <t xml:space="preserve"> 1 0500000 00 0000 000</t>
  </si>
  <si>
    <t>НАЛОГИ НА СОВОКУПНЫЙ ДОХОД</t>
  </si>
  <si>
    <t xml:space="preserve"> 1 0501000 00 0000 110</t>
  </si>
  <si>
    <t>Налог, взимаемый в связи с применением упрощенной системы налогообложения</t>
  </si>
  <si>
    <t xml:space="preserve"> 1 0501010 01 0000 110</t>
  </si>
  <si>
    <t>Налог, взимаемый  с налогоплательщиков, выбравших в качестве объекта налогообложения доходы</t>
  </si>
  <si>
    <t xml:space="preserve"> 1 0501020 01 0000 110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</si>
  <si>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</si>
  <si>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1 0502000 02 0000 110</t>
  </si>
  <si>
    <t>Единый налог на вмененный доход для отдельных видов деятельности</t>
  </si>
  <si>
    <t xml:space="preserve"> 1 0503000 01 0000 110</t>
  </si>
  <si>
    <t>Единый сельскохозяйственный налог</t>
  </si>
  <si>
    <t xml:space="preserve"> 1 0600000 00 0000 000</t>
  </si>
  <si>
    <t>НАЛОГИ НА ИМУЩЕСТВО</t>
  </si>
  <si>
    <t>182 1 06 01000 03 0000 110</t>
  </si>
  <si>
    <t>Налог на имущество физических лиц</t>
  </si>
  <si>
    <t xml:space="preserve"> 1 0602000 02 0000 110</t>
  </si>
  <si>
    <t>Налог на имущество организаций</t>
  </si>
  <si>
    <t xml:space="preserve"> 1 0602010 02 0000 110</t>
  </si>
  <si>
    <t>Налог на имущество организаций по имуществу, не входящему в Единую систему газоснабжения</t>
  </si>
  <si>
    <t xml:space="preserve"> 1 0602020 02 0000 110</t>
  </si>
  <si>
    <t>Налог на имущество организаций по имуществу, входящему в Единую систему газоснабжения</t>
  </si>
  <si>
    <t xml:space="preserve"> 1 0604000 02 0000 110</t>
  </si>
  <si>
    <t>Транспортный налог</t>
  </si>
  <si>
    <t xml:space="preserve"> 1 0604011 02 0000 110</t>
  </si>
  <si>
    <t>Транспортный налог с организаций</t>
  </si>
  <si>
    <t xml:space="preserve"> 1 0604012 02 0000 110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</si>
  <si>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</si>
  <si>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</si>
  <si>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</si>
  <si>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</si>
  <si>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Земельный налог</t>
  </si>
  <si>
    <t xml:space="preserve"> 1 0700000 00 0000 000</t>
  </si>
  <si>
    <t>НАЛОГИ, СБОРЫ И РЕГУЛЯРНЫЕ ПЛАТЕЖИ ЗА ПОЛЬЗОВАНИЕ ПРИРОДНЫМИ РЕСУРСАМИ</t>
  </si>
  <si>
    <t xml:space="preserve"> 1 0701000 01 0000 110</t>
  </si>
  <si>
    <t>Налог на добычу полезных ископаемых</t>
  </si>
  <si>
    <t xml:space="preserve"> 1 0701020 01 0000 110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</si>
  <si>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</si>
  <si>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</si>
  <si>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 за исключением полезных ископаемых в виде природных алмазов)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</si>
  <si>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</si>
  <si>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</si>
  <si>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</si>
  <si>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</si>
  <si>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 xml:space="preserve"> 1 0800000 00 0000 000</t>
  </si>
  <si>
    <t>ГОСУДАРСТВЕННАЯ ПОШЛИНА</t>
  </si>
  <si>
    <t xml:space="preserve"> 1 0803000 01 0000 000</t>
  </si>
  <si>
    <t>Государственная пошлина по делам, рассматриваемым в судах общей юрисдикции, мировыми судьями</t>
  </si>
  <si>
    <t xml:space="preserve"> 1 0803010 01 0000 110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</si>
  <si>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</si>
  <si>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092 1 08 04000 01 0000 110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</si>
  <si>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</si>
  <si>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</si>
  <si>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</si>
  <si>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</si>
  <si>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</si>
  <si>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1 0807140 01 0000 110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</si>
  <si>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</si>
  <si>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1 0807140 01 0000 110</t>
  </si>
  <si>
    <t>182 1 09 01000 03 0000 110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</si>
  <si>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</si>
  <si>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182 1 09 04000 00 0000 110</t>
  </si>
  <si>
    <t>Налоги на имущество</t>
  </si>
  <si>
    <t>182 1 09 04050 03 0000 110</t>
  </si>
  <si>
    <t>Земельный налог (по обязательствам, возникшим до 1 января 2006 г.)</t>
  </si>
  <si>
    <t>182 1 09 06000 02 0000 110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</si>
  <si>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</si>
  <si>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</si>
  <si>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</si>
  <si>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</si>
  <si>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(по отмененным местным налогам и сборам)</t>
  </si>
  <si>
    <t>182 1 09 07030 03 0000 110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</si>
  <si>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</si>
  <si>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182 1 09 07050 03 0000 110</t>
  </si>
  <si>
    <t>Прочие местные налоги и сборы</t>
  </si>
  <si>
    <t>НЕНАЛОГОВЫЕ ДОХОДЫ</t>
  </si>
  <si>
    <t xml:space="preserve"> 1 1100000 00 0000 000</t>
  </si>
  <si>
    <t>ДОХОДЫ ОТ ИСПОЛЬЗОВАНИЯ ИМУЩЕСТВА, НАХОДЯЩЕГОСЯ В ГОСУДАРСТВЕННОЙ И МУНИЦИПАЛЬНОЙ СОБСТВЕННОСТИ</t>
  </si>
  <si>
    <t xml:space="preserve"> 1 1103000 00 0000 120</t>
  </si>
  <si>
    <t>Проценты, полученные от предоставления бюджетных кредитов внутри страны</t>
  </si>
  <si>
    <t xml:space="preserve"> 1 1103050 05 0000 120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</si>
  <si>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</si>
  <si>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 xml:space="preserve"> 1 1105000 00 0000 120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</si>
  <si>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</si>
  <si>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 xml:space="preserve"> 1 1105010 00 0000 120</t>
  </si>
  <si>
    <t>Доходы, получаемые в виде арендной платы за земельные участки,  государственная собственность на которые не разграничена,   а также средства  от продажи права на заключение договоров аренды указанных земельных участков</t>
  </si>
  <si>
    <t>092 1 11 05010 05 0000 120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</si>
  <si>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межселенных территорий муниципальных районов,   а также средства  от продажи права на заключение договоров аренды указанных земельных участков</t>
  </si>
  <si>
    <t xml:space="preserve"> 1 1105010 10 0000 120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</si>
  <si>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 а также средства  от продажи права на заключение договоров аренды указанных земельных участков</t>
  </si>
  <si>
    <t xml:space="preserve"> 1 1105030 00 0000 120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</si>
  <si>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</si>
  <si>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 xml:space="preserve"> 1 1105035 05 0000 120</t>
  </si>
  <si>
    <t>Доходы от сдачи в аренду имущества, находящегося в оперативном управлении  органов управления  муниципальных районов и созданных ими учреждений ( за исключением имущества муниципальных автономных учреждений)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</si>
  <si>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</si>
  <si>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</si>
  <si>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1 11 08010 00 0000 120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</si>
  <si>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</si>
  <si>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1 11 08013 03 0000 120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</si>
  <si>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муниципальной собственности</t>
  </si>
  <si>
    <t>1 11 08020 00 0000 120</t>
  </si>
  <si>
    <t>Доходы от распоряжения  правами на результаты научно-технической деятельности, находящимися в государственной и муниципальной собственности</t>
  </si>
  <si>
    <t>1 11 08023 03 0000 120</t>
  </si>
  <si>
    <t>Доходы от распоряжения  правами на результаты научно-технической деятельности, находящимися в  муниципальной собственности</t>
  </si>
  <si>
    <t>1 11 08030 00 0000 120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</si>
  <si>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</si>
  <si>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1 11 08033 03 0000 120</t>
  </si>
  <si>
    <t>Доходы от эксплуатации и использования имущества автомобильных дорог, находящихся в муниципальной собственности</t>
  </si>
  <si>
    <t>092 1 11 08040 00 0000 120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</si>
  <si>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</si>
  <si>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092 1 11 08043 03 0000 120</t>
  </si>
  <si>
    <t>Прочие поступления от использования имущества, находящегося в муниципальной собственности</t>
  </si>
  <si>
    <t xml:space="preserve"> 1 1200000 00 0000 000</t>
  </si>
  <si>
    <t>ПЛАТЕЖИ ПРИ ПОЛЬЗОВАНИИ ПРИРОДНЫМИ РЕСУРСАМИ</t>
  </si>
  <si>
    <t>498</t>
  </si>
  <si>
    <t xml:space="preserve"> 1 1201000 01 0000 120</t>
  </si>
  <si>
    <t>Плата за негативное воздействие на окружающую среду</t>
  </si>
  <si>
    <t>1 12 02100 00 0000 120</t>
  </si>
  <si>
    <t>Прочие платежи при пользовании недрами</t>
  </si>
  <si>
    <t>1 12 02103 01 0000 120</t>
  </si>
  <si>
    <t>Прочие платежи при пользовании недрами, зачисляемые в местные бюджеты</t>
  </si>
  <si>
    <t xml:space="preserve"> 1 1300000 00 0000 000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</si>
  <si>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</si>
  <si>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</si>
  <si>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услуг или компенсации затрат государства</t>
  </si>
  <si>
    <t>1 13 02000 00 0000 130</t>
  </si>
  <si>
    <t>Лицензионные сборы</t>
  </si>
  <si>
    <t xml:space="preserve"> 1 13 02020 00 0000 130</t>
  </si>
  <si>
    <t>Сборы за выдачу лицензий  на розничную продажу алкогольной продукции</t>
  </si>
  <si>
    <t xml:space="preserve"> 1 1302024 05 0000 130</t>
  </si>
  <si>
    <t>Сборы за выдачу  органами местного самоуправления муници пальных районов лицензий на розничную продажу алкогольной продукции</t>
  </si>
  <si>
    <t xml:space="preserve"> 1 1303000 00 0000 130</t>
  </si>
  <si>
    <t>Прочие доходы от оказания платных услуг и компенсации затрат государства</t>
  </si>
  <si>
    <t xml:space="preserve"> 1 1303050 05 0000 130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</si>
  <si>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</si>
  <si>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</si>
  <si>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</si>
  <si>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</si>
  <si>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</si>
  <si>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1 14 01030 03 0000 410</t>
  </si>
  <si>
    <t>Доходы местных бюджетов от продажи квартир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</si>
  <si>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</si>
  <si>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</si>
  <si>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</si>
  <si>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r>
      <t xml:space="preserve">000 1 14 02030 05 0000 </t>
    </r>
    <r>
      <rPr>
        <sz val="11"/>
        <color indexed="10"/>
        <rFont val="Times New Roman"/>
        <family val="1"/>
        <charset val="204"/>
      </rPr>
      <t>440</t>
    </r>
  </si>
  <si>
    <r>
      <t xml:space="preserve">Доходы от реализации имущества, находящегося в  собственности муниципальных районов (в части реализации </t>
    </r>
    <r>
      <rPr>
        <sz val="11"/>
        <color indexed="10"/>
        <rFont val="Times New Roman"/>
        <family val="1"/>
        <charset val="204"/>
      </rPr>
      <t>материальных запасов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</si>
  <si>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t>092 1 14 02031 03 0000 410</t>
  </si>
  <si>
    <t>Доходы от реализации имущества муниципальных унитарных предприятий (в части реализации основных средств по указанному имуществу)</t>
  </si>
  <si>
    <t>092 1 14 02031 03 0000 440</t>
  </si>
  <si>
    <t>Доходы от реализации имущества муниципальных унитарных предприятий (в части реализации материальных запасов по указанному имуществу)</t>
  </si>
  <si>
    <t>092 1 14 02032 03 0000 410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</si>
  <si>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основных средств по указанному имуществу)</t>
  </si>
  <si>
    <t>092 1 14 02032 03 0000 440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</si>
  <si>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материальных запасов по указанному имуществу)</t>
  </si>
  <si>
    <t>092 1 14 02033 03 0000 410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</si>
  <si>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</si>
  <si>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092 1 14 02033 03 0000 440</t>
  </si>
  <si>
    <t>Доходы от реализации иного имущества, находящегося в муниципальной собственности (в части реализации материальных запасов по указанному имуществу)</t>
  </si>
  <si>
    <r>
      <t xml:space="preserve">000 1 14 03000 00 0000 </t>
    </r>
    <r>
      <rPr>
        <sz val="11"/>
        <color indexed="10"/>
        <rFont val="Times New Roman"/>
        <family val="1"/>
        <charset val="204"/>
      </rPr>
      <t>410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</si>
  <si>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  <charset val="204"/>
      </rPr>
      <t>основных средств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</si>
  <si>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r>
      <t xml:space="preserve">000 1 14 03000 00 0000 </t>
    </r>
    <r>
      <rPr>
        <sz val="11"/>
        <color indexed="10"/>
        <rFont val="Times New Roman"/>
        <family val="1"/>
        <charset val="204"/>
      </rPr>
      <t>440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</si>
  <si>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  <charset val="204"/>
      </rPr>
      <t>материальных запасов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</si>
  <si>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</si>
  <si>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</si>
  <si>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</si>
  <si>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</si>
  <si>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000 1 14 04000 00 0000 420</t>
  </si>
  <si>
    <t>Доходы от продажи нематериальных активов</t>
  </si>
  <si>
    <t>092 1 14 04030 03 0000 420</t>
  </si>
  <si>
    <t>Доходы местных бюджетов от продажи нематериальных активов</t>
  </si>
  <si>
    <t xml:space="preserve"> 1 15 00000 00 0000 000</t>
  </si>
  <si>
    <t>АДМИНИСТРАТИВНЫЕ ПЛАТЕЖИ И СБОРЫ</t>
  </si>
  <si>
    <t>092 1 15 01000 00 0000 140</t>
  </si>
  <si>
    <t>Административные сборы</t>
  </si>
  <si>
    <t>092 1 15 01010 01 0000 140</t>
  </si>
  <si>
    <t>Исполнительский сбор</t>
  </si>
  <si>
    <t xml:space="preserve"> 1 1502000 00 0000 140</t>
  </si>
  <si>
    <t>Платежи, взимаемые государственными и муниципальными организациями за выполнение определенных функций</t>
  </si>
  <si>
    <t xml:space="preserve"> 1 1502050 05 0000 140</t>
  </si>
  <si>
    <t>Платежи, взимаемые   организациями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</si>
  <si>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</si>
  <si>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</si>
  <si>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</si>
  <si>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</si>
  <si>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</si>
  <si>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</t>
    </r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, 132, 134,  135 и  135.</t>
    </r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</si>
  <si>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182 1 16 03020 02 0000 140</t>
  </si>
  <si>
    <t>Денежные взыскания (штрафы) за нарушение законодательства о налогах и сборах, предусмотренные  статьей 129.2 Налогового кодекса Российской Федерации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</si>
  <si>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</si>
  <si>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</si>
  <si>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</si>
  <si>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</si>
  <si>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</si>
  <si>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спиртсодержащей и табачной  продукции 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</si>
  <si>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</si>
  <si>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</si>
  <si>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1 16 25010 01 0000 140</t>
  </si>
  <si>
    <t>Денежные взыскания (штрафы) за нарушение  законодательства о недрах</t>
  </si>
  <si>
    <t xml:space="preserve"> 1 16 25030 01 0000 140</t>
  </si>
  <si>
    <t xml:space="preserve">Денежные взыскания (штрафы) за нарушение  законодательства об охране и использовании животного мира  </t>
  </si>
  <si>
    <t xml:space="preserve"> 1 16 25050  01 0000 140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</si>
  <si>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</si>
  <si>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</si>
  <si>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</si>
  <si>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>141 1 16 27000 01 0000 140</t>
  </si>
  <si>
    <t>Денежные взыскания (штрафы) за нарушение федерального закона "О пожарной безопасности"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</si>
  <si>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</si>
  <si>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</si>
  <si>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1 16 30000 01 0000 140</t>
  </si>
  <si>
    <t>Денежные взыскания (штрафы) за административные правонарушения в области дорожного движения</t>
  </si>
  <si>
    <t xml:space="preserve"> 1 16 33050 05 0000 140</t>
  </si>
  <si>
    <t>Денежные взыскания (штрафы) за нарушение  законодательства РФ о размещении заказов на поставки товаров, выполнение работ, оказание услуг для нужд муниципальных районов</t>
  </si>
  <si>
    <t xml:space="preserve">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</si>
  <si>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</si>
  <si>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1 1690050 05 0000 140</t>
  </si>
  <si>
    <t>177</t>
  </si>
  <si>
    <t xml:space="preserve"> 1 17 00000 00 0000 000</t>
  </si>
  <si>
    <t>ПРОЧИЕ НЕНАЛОГОВЫЕ ДОХОДЫ</t>
  </si>
  <si>
    <t>000 1 17 01000 00 0000 180</t>
  </si>
  <si>
    <t>Невыясненные поступления</t>
  </si>
  <si>
    <t>092 1 17 01030 03 0000 180</t>
  </si>
  <si>
    <t>Невыясненные поступления, зачисляемые в местные бюджеты</t>
  </si>
  <si>
    <t>092 1 17 02000 03 0000 120</t>
  </si>
  <si>
    <t>Возмещение потерь сельскохозяйственного производства, связанных с изъятием сельскохозяйственных угодий</t>
  </si>
  <si>
    <t xml:space="preserve"> 1 1705000 00 0000 180</t>
  </si>
  <si>
    <t>Прочие неналоговые доходы</t>
  </si>
  <si>
    <t xml:space="preserve"> 1 1705050 05 0000 180</t>
  </si>
  <si>
    <t>Прочие неналоговые доходы бюджетов муниципальных районов</t>
  </si>
  <si>
    <t xml:space="preserve"> 1 1900000 00 0000 000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</si>
  <si>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</si>
  <si>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1 1905000 05 0000 151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</si>
  <si>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</si>
  <si>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092 2 02 09000 00 0000 151</t>
  </si>
  <si>
    <t>Прочие безвозмездные поступления  от других бюджетов бюджетной системы</t>
  </si>
  <si>
    <t>092 2 02 09024 05 0000 151</t>
  </si>
  <si>
    <t>Прочие безвозмездные поступления  в бюджеты муниципальных районов от  бюджетов субъектов Российской Федерации</t>
  </si>
  <si>
    <t xml:space="preserve"> 2 0000000 00 0000 000</t>
  </si>
  <si>
    <t>БЕЗВОЗМЕЗДНЫЕ ПОСТУПЛЕНИЯ</t>
  </si>
  <si>
    <t>2 0200000 00 0000 000</t>
  </si>
  <si>
    <t>БЕЗВОЗМЕЗДНЫЕ ПОСТУПЛЕНИЯ ОТ ДРУГИХ БЮДЖЕТОВ БЮДЖЕТНОЙ СИСТЕМЫ РОССИЙСКОЙ ФЕДЕРАЦИИ</t>
  </si>
  <si>
    <t xml:space="preserve"> 2 0201000 00 0000 000</t>
  </si>
  <si>
    <t>2 0201001 05 0000 151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</si>
  <si>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</si>
  <si>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район</t>
  </si>
  <si>
    <t>Дотации  бюджетам муниципальных районов на выравнивание уровня бюджетной обеспеченности сельские поселения</t>
  </si>
  <si>
    <t xml:space="preserve"> 2 0201003 05 0000 151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</si>
  <si>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</si>
  <si>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2 0202000 00 0000 000</t>
  </si>
  <si>
    <t>Субсидии бюджетам субъектов Российской Федерации и муниципальных образований (межбюджетные субсидии)</t>
  </si>
  <si>
    <t>Субсидии на реализацию РЦП "Жилище" на 2002-2010 годы"  подпрограмма "Обеспечение жильем молодых семей" (через Министерство образования, науки и молодежной политики РА)</t>
  </si>
  <si>
    <t xml:space="preserve"> 2 02 02077 05 0000 151</t>
  </si>
  <si>
    <t>Субсидии бюджетам муниципальных районов на реализацию федеральных целевых программ</t>
  </si>
  <si>
    <t xml:space="preserve"> 2 0202999 05 0000 151</t>
  </si>
  <si>
    <t>Прочие субсидии  бюджетам муниципальных районов</t>
  </si>
  <si>
    <t>092 2 02 02999 05 0000 151</t>
  </si>
  <si>
    <t>Субсидии на подпрограмму "Обеспечение земельных участков коммунальной инфраструктурой в целях жилищного строительства на территории Республики Алтай" РЦП "Жилище" на 2002-2010 годы" (софинансирование подготовки градостроительной документации)</t>
  </si>
  <si>
    <t>Субсидии на подготовку к отопительному сезону объектов ЖКХ (через Минрегин)</t>
  </si>
  <si>
    <t>Субсидии на благоустройство территорий сельских поселений, городского округа</t>
  </si>
  <si>
    <t>Субсидии на благоустройство территорий муниципальных образований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</si>
  <si>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</si>
  <si>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капитальный и текущий ремонт объектов социально-культурной сферы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</si>
  <si>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</si>
  <si>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 xml:space="preserve">Субсидии   на комплектование книжных фондов библиотек муниципальных образований Республики Алтай 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</si>
  <si>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электороснабжение с.Онгудай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</si>
  <si>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строительство водопровода  с.Онгудай</t>
  </si>
  <si>
    <t>Субсидии на реализацию региональной целевой программы "Жилище" на 2008-2010гг"подпрограмма "Обеспечение земельных участков коммунальной инфраструктуой на территории Республики Алтай"(Через Министерства регионального развития Республики Алтай) водопроводс.Кулада</t>
  </si>
  <si>
    <t xml:space="preserve"> 2 0203000 00 0000 000</t>
  </si>
  <si>
    <t>Субвенции  бюджетам субъектов Российской Федерации и мунициапальных образований</t>
  </si>
  <si>
    <t xml:space="preserve"> 2 0203001 05 0000 151</t>
  </si>
  <si>
    <t>Субвенции  бюджетам  муниципальных районов на оплату жилищно-коммунальных услуг отдельным категориям граждан</t>
  </si>
  <si>
    <t xml:space="preserve"> 2 0203002 05 0000 151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</si>
  <si>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</si>
  <si>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 2 0203004 05 0000 151</t>
  </si>
  <si>
    <t>Субвенции бюджетам муниципальных районов на обеспечение мер социальной поддержки для лиц, награжденных знаками "Почетный донор СССР" , "Почетный донор России"</t>
  </si>
  <si>
    <t>092 2 02 03007 05 0000 151</t>
  </si>
  <si>
    <t>Субвенции 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(дополнению и изменению) списков кандидатов в   присяжные заседатели федер. судов общей юрисдикции в РФ</t>
  </si>
  <si>
    <t>092 2 02 02009 05 0000 151</t>
  </si>
  <si>
    <t>Субвенции  бюджетам  муниципальных районов.на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РФ</t>
  </si>
  <si>
    <t>2 0203012  05 0000 151</t>
  </si>
  <si>
    <t>Субвенции  бюджетам 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</si>
  <si>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2 0203013  05 0000 151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</si>
  <si>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</si>
  <si>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2 0203015 05 0000 151</t>
  </si>
  <si>
    <t>Субвенции бюджетам муниципальных районов на осуществление  первичного  воинскоого учета на территориях, где отсутствуют военные комиссариаты</t>
  </si>
  <si>
    <t>Средства 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</si>
  <si>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092 2 02 03020 05 0000 151</t>
  </si>
  <si>
    <t xml:space="preserve">Субвенции бюджетам муниципальных районов на  выплату единовременного  пособия при всех формах устройства детей, лишенных роди тельского попечения, в семью (через Мин. образ.,науки и мол.пол. РА) </t>
  </si>
  <si>
    <t xml:space="preserve"> 2 0203021 05 0000 151</t>
  </si>
  <si>
    <t xml:space="preserve">Субвенции бюджетам муниципальных районов на ежемесячное денежное вознаграждение  за классное руководство </t>
  </si>
  <si>
    <t xml:space="preserve"> 2 0203022 05 0000 151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</si>
  <si>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</si>
  <si>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2 0203024 05 0000 151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</si>
  <si>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</si>
  <si>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092 2 02 03024 05 0000 151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</si>
  <si>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по вопросам административного законодательства"</t>
  </si>
  <si>
    <t>Субвенции органам местного самоуправления муниципальных районов на осуществление государственных полномочий Республики Алтай по расчету и предоставлению дотации на выравнивание уровня бюджетной обеспеченности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</si>
  <si>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</si>
  <si>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</si>
  <si>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на реализацию ведомственной целевой программы "Проведение ремонта аварийных объектов, находящихся в хозяйственном ведении предприятий жилищно-коммунального комплексаРА на 2007 год"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</si>
  <si>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</si>
  <si>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</si>
  <si>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</si>
  <si>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</si>
  <si>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</si>
  <si>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</si>
  <si>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</si>
  <si>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</si>
  <si>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</si>
  <si>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</si>
  <si>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</si>
  <si>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</si>
  <si>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</si>
  <si>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</si>
  <si>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</si>
  <si>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 xml:space="preserve"> 2 0203026 05 0000 151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</si>
  <si>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</si>
  <si>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</si>
  <si>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</si>
  <si>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2 0202052 05 0000 151</t>
  </si>
  <si>
    <t>Субвенции бюджетам муниципальных районов на  внедрение инновационных образовательных программ в муниципальных общеобразовательных учреждениях</t>
  </si>
  <si>
    <t xml:space="preserve"> 2 0203029 05 0000 151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</si>
  <si>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</si>
  <si>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 xml:space="preserve"> 2 0203030 05 0000 151</t>
  </si>
  <si>
    <t>Сувенции бюджетам муниципальных районов на обеспечение жильем инвалидов войны и инвалидов боевых действий, участников Великой Отечественной войны , ветеранов боевых действий, военослужащих, проходивших военную службу в период с 22 июня 1941 года по 3 сентября 1945 года, граждан, награжденных знаком "Жителю блкадного Ленинграда", лиц, работавших на военных объектах в период Великой Отечечственной войны, членов семей погибших (умерших) инвалидов войны,участников Великой Отечественной войны, ветеранов боевых действий, инвалидов и семей, имеющих детей-инвалидов.</t>
  </si>
  <si>
    <t xml:space="preserve"> 2 0203033 05 0000 151</t>
  </si>
  <si>
    <t>Субвенции бюджетам муниципальных районов на оздоровление детей</t>
  </si>
  <si>
    <t xml:space="preserve"> 2 0203055 05 0000 151</t>
  </si>
  <si>
    <t>Субвенции на осуществление денежных выплат медицинскому персоналу фельдшерско-акушерских пунктов (заведующим фельдшерско-акушерскими пунктами, фельдшерам, акушеркам, медицинским сестрам, в том числе медицинским сестрам патронажным), врачам, фельдшерам (акушеркам), медицинским сестрам учреждений и подразделений скорой медицинской помощи муниципальной системы здравоохранения (через Министерство здравоохранения Республики Алтай)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</si>
  <si>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</si>
  <si>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</si>
  <si>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</si>
  <si>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</si>
  <si>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 xml:space="preserve"> 2 19 05000 05 0000 151</t>
  </si>
  <si>
    <t>ВСЕГО ДОХОДОВ</t>
  </si>
  <si>
    <t>ДОХОДЫ без учета объема безвозмездных поступлений</t>
  </si>
  <si>
    <t>Остатки на 01.01.2011 год</t>
  </si>
  <si>
    <t>Целевые остатки на 01.01.2011год</t>
  </si>
  <si>
    <t>Остаток средств на 01.01.2011г. направленных на погашение дефицита бюджета</t>
  </si>
  <si>
    <t>ВСЕГО ДОХОДОВ и остатков</t>
  </si>
  <si>
    <t>ВСЕГО ПО МУНИЦИПАЛЬНОМУ ОБРАЗОВАНИЮ:</t>
  </si>
  <si>
    <t>Реконструкция  средней школы в с.Онгудай Онгдайского района РА (1 очередь строительства)</t>
  </si>
  <si>
    <t>РЦП "Демографическое развитие РА на 2010-2015 г.</t>
  </si>
  <si>
    <t>Реконструкция кинотеатра "Урсул" под сельский дом культуры в с.Онгудай</t>
  </si>
  <si>
    <t>2.4.</t>
  </si>
  <si>
    <t>Строительство полной средней школы на 260 учащихся с интернатом на 80 мест в с.Иня</t>
  </si>
  <si>
    <t>2.3.</t>
  </si>
  <si>
    <t>2.2.</t>
  </si>
  <si>
    <t>Реконструкция водопровода в с.Ело</t>
  </si>
  <si>
    <t>2.1.</t>
  </si>
  <si>
    <t>РЦП "Развитие агропромышленного комплекса РА на 2011-2017г"</t>
  </si>
  <si>
    <t>ФЦП  «Социальное развитие села »:</t>
  </si>
  <si>
    <t>Программная часть</t>
  </si>
  <si>
    <t>Корректировка рабочего проекта на реконструкцию общеобразовательной средней школы в с.Онгудай (1,2 очереди)</t>
  </si>
  <si>
    <t>1.10</t>
  </si>
  <si>
    <t>Экспертиза рабочего проекта на реконструкцию водопровода в с.Нижняя-Талда</t>
  </si>
  <si>
    <t>1.9.</t>
  </si>
  <si>
    <t>Экспертиза рабочего проекта на реконструкцию водопровода в с.Иня</t>
  </si>
  <si>
    <t>1.8.</t>
  </si>
  <si>
    <t>Экспертиза рабочего проекта на реконструкцию 1 го этапа 2 ой очереди общеобразовательной средней школы в с.Онгудай (нач.школа)</t>
  </si>
  <si>
    <t>1.7.</t>
  </si>
  <si>
    <t>Экспертиза рабочего проекта на строительство ВЛ-10,0 квт с ТП в с.Онгудай</t>
  </si>
  <si>
    <t>1.6.</t>
  </si>
  <si>
    <t>Разработка рабочего проекта на строительство ВЛ-10,0 квт с ТП в с.Онгудай</t>
  </si>
  <si>
    <t>Экспертиза рабочего проекта на строительство водопровода в с.Шашикман</t>
  </si>
  <si>
    <t>Разработка рабочего проекта на строительство водопровода в с.Шашикман</t>
  </si>
  <si>
    <t>Экспертиза рабочего проекта на строительство детского сада на 150 мест в с.Онгудай</t>
  </si>
  <si>
    <t>Разработка рабочего проекта на строительство детского сада на 150 мест в с.Онгудай</t>
  </si>
  <si>
    <t>Непрограммная часть</t>
  </si>
  <si>
    <t>местный бюджет</t>
  </si>
  <si>
    <t>республиканский  бюджет</t>
  </si>
  <si>
    <t>Инвестиции на 2011 год</t>
  </si>
  <si>
    <t>Всего на утверждение</t>
  </si>
  <si>
    <t>изменения (+,-)</t>
  </si>
  <si>
    <t>Федеральный бюджет (справочно)</t>
  </si>
  <si>
    <t>Всего, план</t>
  </si>
  <si>
    <t>Наименование объектов</t>
  </si>
  <si>
    <t>№п/п</t>
  </si>
  <si>
    <t>тыс.руб.</t>
  </si>
  <si>
    <t>на 2011 год</t>
  </si>
  <si>
    <t>4320203</t>
  </si>
  <si>
    <t>4320202</t>
  </si>
  <si>
    <t>Строительство водопровода в с.Шиба</t>
  </si>
  <si>
    <t>федеральный бюджет</t>
  </si>
  <si>
    <t>федеральный  бюджет</t>
  </si>
  <si>
    <t>8100108</t>
  </si>
  <si>
    <t>6000200</t>
  </si>
  <si>
    <t>ФЦП "Социальное развитие села  до 2012г"</t>
  </si>
  <si>
    <t>5058502</t>
  </si>
  <si>
    <t>Субсидии на подготовку  к отопительному сезону объектов  жилищно-коммунального хозяйства</t>
  </si>
  <si>
    <t xml:space="preserve"> РАСПРЕДЕЛЕНИЕ  МЕЖБЮДЖЕТНЫХ ТРАНСФЕРТОВ  БЮДЖЕТАМ СЕЛЬСКИХ ПОСЕЛЕНИЙ  ИЗ БЮДЖЕТА МУНИЦИПАЛЬНОГО ОБРАЗОВАНИЯ "ОНГУДАЙСКИЙ РАЙОН" </t>
  </si>
  <si>
    <t xml:space="preserve">   на  2011 год</t>
  </si>
  <si>
    <t>(тыс.руб)</t>
  </si>
  <si>
    <t>Наименования межбюджетных трансфертов</t>
  </si>
  <si>
    <t>Всего</t>
  </si>
  <si>
    <t>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</si>
  <si>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</si>
  <si>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</si>
  <si>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</si>
  <si>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</si>
  <si>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</si>
  <si>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</si>
  <si>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</si>
  <si>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</si>
  <si>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</si>
  <si>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</si>
  <si>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Б</t>
  </si>
  <si>
    <t>1</t>
  </si>
  <si>
    <t>Межбюджетные трансферты бюджетам сельских поселений из республиканского бюджета</t>
  </si>
  <si>
    <t>Дотации на выравнивание бюджетной обеспеченности поселений</t>
  </si>
  <si>
    <t>Субсидии на  благоустройство  территорий сельских поселений</t>
  </si>
  <si>
    <t xml:space="preserve">Субсидии на софинансирование  расходов на решение вопросов местного значения поселений, связанных с реализацией ФЗ "Об общих принципах организации местного самоуправления  в Российской Федерации" 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</si>
  <si>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</si>
  <si>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</si>
  <si>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3</t>
  </si>
  <si>
    <t>Межбюджетные трансферты бюджетам сельских поселений бюджета муницпального района</t>
  </si>
  <si>
    <t>Дотация на выравнивание уровня бюджетной обеспеченности  из районного фонда  финансовой поддержки  поселений</t>
  </si>
  <si>
    <t>Итого межбюджетные трансферты бюджетам муниципальных образований</t>
  </si>
  <si>
    <t>3.3</t>
  </si>
  <si>
    <t>Повышение квалификации</t>
  </si>
  <si>
    <t>Повышение оплаты труда   работникам бюджетной  сферы</t>
  </si>
  <si>
    <t>Код бюджетной классификации</t>
  </si>
  <si>
    <t xml:space="preserve"> 1 0807150 01 0000 110</t>
  </si>
  <si>
    <t>Государственная пошлина за выдачу разрешения на установку рекламной консрукции</t>
  </si>
  <si>
    <t>0960300</t>
  </si>
  <si>
    <t>Реализация мероприятий по внедрению стандартов и повышению доступности амбулаторной медицинской помощи в рамках региональной программы модернизации здравоохранения</t>
  </si>
  <si>
    <t>1020101</t>
  </si>
  <si>
    <t>РЦП "Жилище на 2011-2015годы" подпрограмма "Стимулитрование развития  жилищного строительства на территроии РА "</t>
  </si>
  <si>
    <t>1 14 02032  05 0000  410</t>
  </si>
  <si>
    <t xml:space="preserve"> 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</si>
  <si>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</si>
  <si>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3,289 было с плюсом по решению июня</t>
  </si>
  <si>
    <t>3,958 перепись убрать.</t>
  </si>
  <si>
    <t>0401</t>
  </si>
  <si>
    <t>Разработка рабочего проекта на реконструкцию здания  Отдела труда и социального развития в с.Онгудай</t>
  </si>
  <si>
    <t>4.1.</t>
  </si>
  <si>
    <t>Строительство ЦРБ с Онгудай Онгудайского района РА</t>
  </si>
  <si>
    <t xml:space="preserve">Региональная программа модернизации здравоохранения субъектов РФ и программы модернизации гос учреждений, оказывающих мед помощь 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</si>
  <si>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</si>
  <si>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</si>
  <si>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</si>
  <si>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</si>
  <si>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2008 год , тыс.руб.</t>
  </si>
  <si>
    <t xml:space="preserve">2009 год по закону о бюджете </t>
  </si>
  <si>
    <t>Изменения 2009 год (+/-)</t>
  </si>
  <si>
    <t>2011 год</t>
  </si>
  <si>
    <t>раздел/ подраздел</t>
  </si>
  <si>
    <t>целевая статья</t>
  </si>
  <si>
    <t>вид расходов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</si>
  <si>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</si>
  <si>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</si>
  <si>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</si>
  <si>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</si>
  <si>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</si>
  <si>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</si>
  <si>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</si>
  <si>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</si>
  <si>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</si>
  <si>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</si>
  <si>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</si>
  <si>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</si>
  <si>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</si>
  <si>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</si>
  <si>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 xml:space="preserve">Доплаты к пенсиям государственных служащих субъектов Российской Федерации и Муниципальных образований </t>
  </si>
  <si>
    <t>Закон РА "О доплате к пенсии Республики Алтай" от 01.11.2001 г №25-28</t>
  </si>
  <si>
    <t>Отдел труда и социального развития Администрации района (аймака) муниципального образования "Онгудайский район"</t>
  </si>
  <si>
    <t>Федеральный закон от 12.01.1996 № 8-ФЗ "О погребении и похоронном деле"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</si>
  <si>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</si>
  <si>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Закон Республики Алтай от 11.10.2004 № 42-РЗ "О ветеранах труда Республики Алтай"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</si>
  <si>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</si>
  <si>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</si>
  <si>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</si>
  <si>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</si>
  <si>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</si>
  <si>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</si>
  <si>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</si>
  <si>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</si>
  <si>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</si>
  <si>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</si>
  <si>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</si>
  <si>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</si>
  <si>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</si>
  <si>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</si>
  <si>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</si>
  <si>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</si>
  <si>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</si>
  <si>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Социальные выплаты  на строительство  (приобретение) жилья гражданам Российской Федерации, проживающим в сельской  местности, в  том числе молодым семьям и молодым специалистам, проживающим и работающим  на селе  либо изъявивишим желание переехать на постоянное  место жительства в сельскую местность и работать там.</t>
  </si>
  <si>
    <t>Постановление Российской Федерации от 03.12.2002 №858 " О федеральной целевой программе "Социальное развитие села до 2012 года"</t>
  </si>
  <si>
    <t xml:space="preserve">Итого по Администрации района (аймака) </t>
  </si>
  <si>
    <t>4361500</t>
  </si>
  <si>
    <t>4361501</t>
  </si>
  <si>
    <t>0960100</t>
  </si>
  <si>
    <t>5220199</t>
  </si>
  <si>
    <t>099</t>
  </si>
  <si>
    <t>5100300</t>
  </si>
  <si>
    <t>7952025</t>
  </si>
  <si>
    <t>7952023</t>
  </si>
  <si>
    <t>Мероприятия в области</t>
  </si>
  <si>
    <t>4400200</t>
  </si>
  <si>
    <t>5053401</t>
  </si>
  <si>
    <t>3450000</t>
  </si>
  <si>
    <t>3450100</t>
  </si>
  <si>
    <t>0314</t>
  </si>
  <si>
    <t>Проведение противоаврийных мероприятий в общеобразовательных учреждениях</t>
  </si>
  <si>
    <t>Организация общественных работ безработных граждан</t>
  </si>
  <si>
    <t>Малое и среднее предпринимательство</t>
  </si>
  <si>
    <t>РП №Модернизация здравоохранения Республики  Алтай на 2011-2012 годы"</t>
  </si>
  <si>
    <t>ФЦП "Социальное развитие села до 2012года"</t>
  </si>
  <si>
    <t>Субсидии на обеспечение жильем молодых семей и молодых специалистов</t>
  </si>
  <si>
    <t xml:space="preserve">Субсидии на осуществление мероприятий
по обеспечению жильем граждан Российской Федерации,
проживающих в сельской местности
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</si>
  <si>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</si>
  <si>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</si>
  <si>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</si>
  <si>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</si>
  <si>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</si>
  <si>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 xml:space="preserve"> 2 0202085 05 0000 151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</si>
  <si>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</si>
  <si>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</si>
  <si>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</si>
  <si>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Cубсидии на повышение оплаты труда работников органов местного самоуправления, оплата труда которых осуществляется на основе новых систем оплаты труда, а также  работников муниципальных учреждений в Республике Алтай</t>
  </si>
  <si>
    <t>Субвенции бюджетам муниципальных образований на реализации РЦП "Социальная адаптация граждан, освободившихся из мест лишения свободы"</t>
  </si>
  <si>
    <t xml:space="preserve">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</si>
  <si>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</si>
  <si>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202 04029 05 0000 151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</si>
  <si>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</si>
  <si>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202 04034 05 0000 151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</si>
  <si>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</si>
  <si>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                                                                       МУНИЦИПАЛЬНОГО ОБРАЗОВАНИЯ "ОНГУДАЙСКИЙ РАЙОН" </t>
  </si>
  <si>
    <t>7952026</t>
  </si>
  <si>
    <t>3.2.</t>
  </si>
  <si>
    <t>3.2.1.</t>
  </si>
  <si>
    <t>3.2.2.</t>
  </si>
  <si>
    <t>3.2.3</t>
  </si>
  <si>
    <t>3.2.4.</t>
  </si>
  <si>
    <t>3.2.5.</t>
  </si>
  <si>
    <t>3.2.6.</t>
  </si>
  <si>
    <t>4</t>
  </si>
  <si>
    <t xml:space="preserve">Субсидии на подготовку к отпительному сезону объектов жилищно-коммунального хозяйства 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</si>
  <si>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</si>
  <si>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1.7</t>
  </si>
  <si>
    <t>Субсидии на организацию общественных работ безработных граждан</t>
  </si>
  <si>
    <t>На дополнительные расходы</t>
  </si>
  <si>
    <t>Постановление Правительства Республики Алтай №199 от 16.09.2011гПодпрограмма "Обеспечение жильем молодых семей" РЦП "Жилище" на 2011-2015 годы"</t>
  </si>
  <si>
    <t>Предоставление дополнительной  социальной выплаты в 2011 году молодым семьям при рождении (усыновлении) одного ребенка</t>
  </si>
  <si>
    <t>1.11</t>
  </si>
  <si>
    <t>4362100</t>
  </si>
  <si>
    <t>4362101</t>
  </si>
  <si>
    <t>Модернизация  региональной системы общего образования</t>
  </si>
  <si>
    <t>Выполнение функций бюджетными учреждениями (федер.бюджет)</t>
  </si>
  <si>
    <t>Выполнение функций бюджетными учреждениями (респ.бюджет)</t>
  </si>
  <si>
    <t>5227900</t>
  </si>
  <si>
    <t>Сфинансированиемун программ развития малого и среднего  предпринимательства из респ.бюджета</t>
  </si>
  <si>
    <t>5225101</t>
  </si>
  <si>
    <t>РЦП "Энергосбережение в сфере предоставления  коммунальных услуг на терр РА"</t>
  </si>
  <si>
    <t>РЦП " Оснащение многокварт. Домов коллективными (общедомовыми) приборами учета потребления коммунального ресурса на 2009-2011 годы"</t>
  </si>
  <si>
    <t>5222100</t>
  </si>
  <si>
    <t>1008820</t>
  </si>
  <si>
    <t>"Обеспечение жильем молодых семей"ФЦП "Жилище" на 2011-2015годы</t>
  </si>
  <si>
    <t>"Обеспечение жильем молодых семей"РЦП "Жилище" на 2011-2015годы</t>
  </si>
  <si>
    <t>Учебно- метод.кабинеты, центр.бухгалтерии, группы хоз.обслуживания</t>
  </si>
  <si>
    <t xml:space="preserve"> Проведение мероприятий для детей и молодежи</t>
  </si>
  <si>
    <t>ДОХОД</t>
  </si>
  <si>
    <t>Прочие межбюджетные трансферты, передаваемые бюджетам муниципальных районов</t>
  </si>
  <si>
    <t xml:space="preserve"> 202 04999 05 0000 151</t>
  </si>
  <si>
    <t xml:space="preserve"> 2 0204000 00 0000 000</t>
  </si>
  <si>
    <t>092 2 02 02025 05 0000 151</t>
  </si>
  <si>
    <t>Субсидии на реализацию Региональной целевой программы "Оснащение многоквартирных домов коллективными приборами учета потребления коммунального ресурса на 2009-2011 годы"</t>
  </si>
  <si>
    <t>Субсидии на реализацию Региональной целевой программы" Энергосбережение и повышение энергетической эффективности Республики Алтай на 2010-2015 годы и на период до 2020 года"Подпрограмма "Энергосбережение в сфере предоставления коммунальных услуг на территории Республики Алтай"</t>
  </si>
  <si>
    <t>Субсидии бюджетам муниципальных районов на модернизацию региональных систем общего образования</t>
  </si>
  <si>
    <t xml:space="preserve"> 2 0202145 05 0000 151</t>
  </si>
  <si>
    <t xml:space="preserve"> 2 02 02051 05 0000 151</t>
  </si>
  <si>
    <t>к  решению "О бюджете муниципального образования "Онгудайский район" на 2011 год и на плановый период 2012-2013 годов" ( в редакции решения "О внесении изменений и дополнений в бюджет муниципального образования "Онгудайский район" на 2011 год и на плановый период 2012-2013 годов" от  04.03.2011г № 24-1, от22.04.2011  №25-5, от 10.06.2011г №26/2,от 06.10.2011г №28-1,от 28.11.2011г №29-1)</t>
  </si>
  <si>
    <t xml:space="preserve"> Приложение 8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</si>
  <si>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от22.04. 2011 №25-5, от 10.06.2011г №26/2, от 06.10.2011 г № 28-1, от 28.11.2011г № 29-1)</t>
  </si>
  <si>
    <t xml:space="preserve"> Приложение 10</t>
  </si>
  <si>
    <t>к решению "О бюджете муниципального образования "Онгудайский район" на 2011год и на плановый период 2012 и 2013 годов"( в ред.реш.сессии от 04.03.2011г №24-1, от 22.04.2011 № 25-5, от10.06.2011г № 26/2,от 06.10.2011 №28-1, 28.11.2011 г№29-1)</t>
  </si>
  <si>
    <t xml:space="preserve"> Приложение 14</t>
  </si>
  <si>
    <t>к решению "О бюджете муниципального образования "Онгудайский район" на 2011 год и на плановый период 2012- 2013 годов" ( в ред.реш.сессии от 04.03.2011г №24-1, от 22.04.2011г №25-5, от 10.06.2011г №26/2, от06.10.2011г № 28-1, от28.11.2011г №29-1)</t>
  </si>
  <si>
    <t>Объем бюджетных ассигнований, направленных на исполнение публичных нормативных обязательств в 2011 году                                                                                    по муниципальному образованию "Онгудайский район"</t>
  </si>
  <si>
    <t xml:space="preserve"> Приложение № 15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</si>
  <si>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  22.04. 2011 №25-5, от06.10.2011 №28-1, от 28.11.2011г №29-1)</t>
  </si>
  <si>
    <t>Приложение 17</t>
  </si>
  <si>
    <t>к решению " О бюджете муниципального образования "Онгудайский район" на 2011 год и на плановый период 2012 и 2013 годов" (в ред.решения сессии от 04.03.2011г № 24-1, от 10.06.2011г №26/2, от06.10.2011г №28-1, от 28.11.2011г №29-1)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</si>
</sst>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&quot;$&quot;* #,##0.00_);_(&quot;$&quot;* \(#,##0.00\);_(&quot;$&quot;* &quot;-&quot;??_);_(@_)"/>
    <numFmt numFmtId="171" formatCode="_-* #,##0.0_р_._-;\-* #,##0.0_р_._-;_-* &quot;-&quot;??_р_._-;_-@_-"/>
    <numFmt numFmtId="172" formatCode="#,##0.00_ ;\-#,##0.00\ "/>
    <numFmt numFmtId="173" formatCode="#,##0.00000"/>
    <numFmt numFmtId="174" formatCode="_-* #,##0.000_р_._-;\-* #,##0.000_р_._-;_-* &quot;-&quot;??_р_._-;_-@_-"/>
    <numFmt numFmtId="175" formatCode="_-* #,##0.00000_р_._-;\-* #,##0.00000_р_._-;_-* &quot;-&quot;?????_р_._-;_-@_-"/>
    <numFmt numFmtId="176" formatCode="_-* #,##0.00_р_._-;\-* #,##0.00_р_._-;_-* &quot;-&quot;?????_р_._-;_-@_-"/>
    <numFmt numFmtId="177" formatCode="_-* #,##0.00000_р_._-;\-* #,##0.00000_р_._-;_-* &quot;-&quot;??_р_._-;_-@_-"/>
  </numFmts>
  <fonts count="6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3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48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E"/>
      <charset val="204"/>
    </font>
    <font>
      <b/>
      <sz val="10"/>
      <name val="Times New Roman CE"/>
      <family val="1"/>
      <charset val="238"/>
    </font>
    <font>
      <b/>
      <sz val="9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7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FF0000"/>
      <name val="Arial Cyr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0" fontId="35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0" fontId="35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69">
    <xf numFmtId="0" fontId="0" fillId="0" borderId="0" xfId="0"/>
    <xf numFmtId="0" fontId="14" fillId="0" borderId="0" xfId="3" applyFont="1" applyBorder="1"/>
    <xf numFmtId="0" fontId="14" fillId="0" borderId="0" xfId="3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3" applyFont="1" applyBorder="1" applyAlignment="1">
      <alignment horizontal="center" wrapText="1"/>
    </xf>
    <xf numFmtId="0" fontId="14" fillId="0" borderId="0" xfId="3" applyFont="1" applyAlignment="1">
      <alignment wrapText="1"/>
    </xf>
    <xf numFmtId="2" fontId="14" fillId="0" borderId="1" xfId="3" applyNumberFormat="1" applyFont="1" applyBorder="1" applyAlignment="1">
      <alignment horizontal="center"/>
    </xf>
    <xf numFmtId="49" fontId="14" fillId="0" borderId="1" xfId="3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2" fontId="14" fillId="0" borderId="0" xfId="3" applyNumberFormat="1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top" wrapText="1"/>
    </xf>
    <xf numFmtId="167" fontId="14" fillId="0" borderId="0" xfId="0" applyNumberFormat="1" applyFont="1"/>
    <xf numFmtId="2" fontId="14" fillId="0" borderId="0" xfId="0" applyNumberFormat="1" applyFont="1"/>
    <xf numFmtId="0" fontId="15" fillId="0" borderId="45" xfId="0" applyFont="1" applyFill="1" applyBorder="1"/>
    <xf numFmtId="0" fontId="15" fillId="0" borderId="5" xfId="0" applyFont="1" applyFill="1" applyBorder="1" applyAlignment="1">
      <alignment vertical="center"/>
    </xf>
    <xf numFmtId="166" fontId="14" fillId="0" borderId="40" xfId="0" applyNumberFormat="1" applyFont="1" applyFill="1" applyBorder="1"/>
    <xf numFmtId="166" fontId="14" fillId="0" borderId="25" xfId="0" applyNumberFormat="1" applyFont="1" applyFill="1" applyBorder="1"/>
    <xf numFmtId="2" fontId="22" fillId="0" borderId="0" xfId="0" applyNumberFormat="1" applyFont="1"/>
    <xf numFmtId="2" fontId="23" fillId="0" borderId="41" xfId="0" applyNumberFormat="1" applyFont="1" applyFill="1" applyBorder="1"/>
    <xf numFmtId="165" fontId="23" fillId="0" borderId="41" xfId="0" applyNumberFormat="1" applyFont="1" applyFill="1" applyBorder="1"/>
    <xf numFmtId="165" fontId="23" fillId="0" borderId="35" xfId="0" applyNumberFormat="1" applyFont="1" applyFill="1" applyBorder="1"/>
    <xf numFmtId="0" fontId="15" fillId="0" borderId="1" xfId="0" applyFont="1" applyBorder="1" applyAlignment="1">
      <alignment wrapText="1"/>
    </xf>
    <xf numFmtId="49" fontId="15" fillId="0" borderId="1" xfId="0" applyNumberFormat="1" applyFont="1" applyBorder="1"/>
    <xf numFmtId="49" fontId="14" fillId="0" borderId="1" xfId="0" applyNumberFormat="1" applyFont="1" applyBorder="1"/>
    <xf numFmtId="2" fontId="14" fillId="0" borderId="1" xfId="0" applyNumberFormat="1" applyFont="1" applyFill="1" applyBorder="1"/>
    <xf numFmtId="2" fontId="14" fillId="0" borderId="38" xfId="0" applyNumberFormat="1" applyFont="1" applyFill="1" applyBorder="1"/>
    <xf numFmtId="165" fontId="14" fillId="0" borderId="38" xfId="0" applyNumberFormat="1" applyFont="1" applyFill="1" applyBorder="1"/>
    <xf numFmtId="165" fontId="14" fillId="0" borderId="46" xfId="0" applyNumberFormat="1" applyFont="1" applyFill="1" applyBorder="1"/>
    <xf numFmtId="0" fontId="14" fillId="0" borderId="1" xfId="0" applyFont="1" applyBorder="1" applyAlignment="1">
      <alignment wrapText="1"/>
    </xf>
    <xf numFmtId="0" fontId="18" fillId="0" borderId="0" xfId="0" applyFont="1"/>
    <xf numFmtId="0" fontId="23" fillId="0" borderId="1" xfId="0" applyFont="1" applyBorder="1" applyAlignment="1">
      <alignment wrapText="1"/>
    </xf>
    <xf numFmtId="49" fontId="23" fillId="0" borderId="1" xfId="0" applyNumberFormat="1" applyFont="1" applyBorder="1"/>
    <xf numFmtId="2" fontId="23" fillId="0" borderId="29" xfId="0" applyNumberFormat="1" applyFont="1" applyFill="1" applyBorder="1"/>
    <xf numFmtId="2" fontId="23" fillId="0" borderId="38" xfId="0" applyNumberFormat="1" applyFont="1" applyFill="1" applyBorder="1"/>
    <xf numFmtId="165" fontId="23" fillId="0" borderId="38" xfId="0" applyNumberFormat="1" applyFont="1" applyFill="1" applyBorder="1"/>
    <xf numFmtId="165" fontId="23" fillId="0" borderId="46" xfId="0" applyNumberFormat="1" applyFont="1" applyFill="1" applyBorder="1"/>
    <xf numFmtId="0" fontId="14" fillId="3" borderId="1" xfId="0" applyFont="1" applyFill="1" applyBorder="1" applyAlignment="1">
      <alignment horizontal="justify" wrapText="1"/>
    </xf>
    <xf numFmtId="0" fontId="23" fillId="0" borderId="38" xfId="0" applyFont="1" applyFill="1" applyBorder="1"/>
    <xf numFmtId="0" fontId="23" fillId="0" borderId="46" xfId="0" applyFont="1" applyFill="1" applyBorder="1"/>
    <xf numFmtId="0" fontId="14" fillId="0" borderId="38" xfId="0" applyFont="1" applyFill="1" applyBorder="1"/>
    <xf numFmtId="0" fontId="14" fillId="0" borderId="46" xfId="0" applyFont="1" applyFill="1" applyBorder="1"/>
    <xf numFmtId="0" fontId="22" fillId="0" borderId="0" xfId="0" applyFont="1"/>
    <xf numFmtId="166" fontId="14" fillId="0" borderId="0" xfId="0" applyNumberFormat="1" applyFont="1"/>
    <xf numFmtId="0" fontId="18" fillId="0" borderId="1" xfId="4" applyFont="1" applyFill="1" applyBorder="1" applyAlignment="1">
      <alignment wrapText="1"/>
    </xf>
    <xf numFmtId="49" fontId="18" fillId="0" borderId="1" xfId="0" applyNumberFormat="1" applyFont="1" applyBorder="1"/>
    <xf numFmtId="0" fontId="14" fillId="0" borderId="47" xfId="0" applyFont="1" applyFill="1" applyBorder="1"/>
    <xf numFmtId="165" fontId="14" fillId="0" borderId="48" xfId="0" applyNumberFormat="1" applyFont="1" applyFill="1" applyBorder="1"/>
    <xf numFmtId="49" fontId="15" fillId="0" borderId="18" xfId="0" applyNumberFormat="1" applyFont="1" applyBorder="1"/>
    <xf numFmtId="2" fontId="15" fillId="0" borderId="18" xfId="0" applyNumberFormat="1" applyFont="1" applyFill="1" applyBorder="1"/>
    <xf numFmtId="2" fontId="15" fillId="0" borderId="41" xfId="0" applyNumberFormat="1" applyFont="1" applyFill="1" applyBorder="1"/>
    <xf numFmtId="2" fontId="15" fillId="0" borderId="35" xfId="0" applyNumberFormat="1" applyFont="1" applyFill="1" applyBorder="1"/>
    <xf numFmtId="2" fontId="15" fillId="0" borderId="29" xfId="0" applyNumberFormat="1" applyFont="1" applyBorder="1"/>
    <xf numFmtId="2" fontId="14" fillId="0" borderId="46" xfId="0" applyNumberFormat="1" applyFont="1" applyFill="1" applyBorder="1"/>
    <xf numFmtId="0" fontId="22" fillId="4" borderId="0" xfId="0" applyFont="1" applyFill="1"/>
    <xf numFmtId="2" fontId="14" fillId="0" borderId="29" xfId="0" applyNumberFormat="1" applyFont="1" applyBorder="1"/>
    <xf numFmtId="4" fontId="14" fillId="0" borderId="46" xfId="0" applyNumberFormat="1" applyFont="1" applyFill="1" applyBorder="1"/>
    <xf numFmtId="2" fontId="15" fillId="0" borderId="1" xfId="0" applyNumberFormat="1" applyFont="1" applyFill="1" applyBorder="1"/>
    <xf numFmtId="2" fontId="15" fillId="0" borderId="38" xfId="0" applyNumberFormat="1" applyFont="1" applyFill="1" applyBorder="1"/>
    <xf numFmtId="165" fontId="14" fillId="0" borderId="36" xfId="0" applyNumberFormat="1" applyFont="1" applyFill="1" applyBorder="1"/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5" fontId="14" fillId="0" borderId="1" xfId="0" applyNumberFormat="1" applyFont="1" applyFill="1" applyBorder="1"/>
    <xf numFmtId="0" fontId="14" fillId="0" borderId="1" xfId="0" applyFont="1" applyFill="1" applyBorder="1"/>
    <xf numFmtId="165" fontId="18" fillId="0" borderId="1" xfId="0" applyNumberFormat="1" applyFont="1" applyFill="1" applyBorder="1"/>
    <xf numFmtId="0" fontId="18" fillId="0" borderId="1" xfId="0" applyFont="1" applyFill="1" applyBorder="1"/>
    <xf numFmtId="165" fontId="15" fillId="0" borderId="38" xfId="0" applyNumberFormat="1" applyFont="1" applyFill="1" applyBorder="1"/>
    <xf numFmtId="165" fontId="24" fillId="0" borderId="36" xfId="0" applyNumberFormat="1" applyFont="1" applyFill="1" applyBorder="1"/>
    <xf numFmtId="0" fontId="15" fillId="4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/>
    <xf numFmtId="0" fontId="14" fillId="0" borderId="0" xfId="0" applyFont="1" applyBorder="1"/>
    <xf numFmtId="0" fontId="24" fillId="0" borderId="36" xfId="0" applyFont="1" applyFill="1" applyBorder="1"/>
    <xf numFmtId="0" fontId="14" fillId="4" borderId="0" xfId="0" applyFont="1" applyFill="1" applyBorder="1"/>
    <xf numFmtId="0" fontId="14" fillId="0" borderId="0" xfId="0" applyFont="1" applyFill="1" applyBorder="1"/>
    <xf numFmtId="0" fontId="14" fillId="2" borderId="0" xfId="0" applyFont="1" applyFill="1" applyBorder="1"/>
    <xf numFmtId="165" fontId="24" fillId="0" borderId="39" xfId="0" applyNumberFormat="1" applyFont="1" applyFill="1" applyBorder="1"/>
    <xf numFmtId="165" fontId="14" fillId="0" borderId="0" xfId="0" applyNumberFormat="1" applyFont="1" applyFill="1" applyBorder="1"/>
    <xf numFmtId="165" fontId="14" fillId="0" borderId="2" xfId="0" applyNumberFormat="1" applyFont="1" applyFill="1" applyBorder="1"/>
    <xf numFmtId="0" fontId="14" fillId="0" borderId="12" xfId="0" applyFont="1" applyFill="1" applyBorder="1"/>
    <xf numFmtId="165" fontId="24" fillId="0" borderId="14" xfId="0" applyNumberFormat="1" applyFont="1" applyFill="1" applyBorder="1"/>
    <xf numFmtId="0" fontId="22" fillId="4" borderId="0" xfId="0" applyFont="1" applyFill="1" applyBorder="1"/>
    <xf numFmtId="0" fontId="14" fillId="0" borderId="50" xfId="0" applyFont="1" applyFill="1" applyBorder="1"/>
    <xf numFmtId="165" fontId="24" fillId="0" borderId="3" xfId="0" applyNumberFormat="1" applyFont="1" applyFill="1" applyBorder="1"/>
    <xf numFmtId="0" fontId="18" fillId="0" borderId="1" xfId="0" applyFont="1" applyBorder="1" applyAlignment="1">
      <alignment wrapText="1"/>
    </xf>
    <xf numFmtId="2" fontId="21" fillId="0" borderId="50" xfId="0" applyNumberFormat="1" applyFont="1" applyFill="1" applyBorder="1"/>
    <xf numFmtId="2" fontId="21" fillId="0" borderId="33" xfId="0" applyNumberFormat="1" applyFont="1" applyFill="1" applyBorder="1"/>
    <xf numFmtId="166" fontId="22" fillId="0" borderId="0" xfId="0" applyNumberFormat="1" applyFont="1"/>
    <xf numFmtId="2" fontId="23" fillId="0" borderId="35" xfId="0" applyNumberFormat="1" applyFont="1" applyFill="1" applyBorder="1"/>
    <xf numFmtId="0" fontId="14" fillId="0" borderId="1" xfId="0" applyFont="1" applyBorder="1" applyAlignment="1">
      <alignment horizontal="justify" vertical="top" wrapText="1"/>
    </xf>
    <xf numFmtId="2" fontId="23" fillId="0" borderId="46" xfId="0" applyNumberFormat="1" applyFont="1" applyFill="1" applyBorder="1"/>
    <xf numFmtId="0" fontId="15" fillId="0" borderId="38" xfId="0" applyFont="1" applyFill="1" applyBorder="1"/>
    <xf numFmtId="0" fontId="15" fillId="0" borderId="46" xfId="0" applyFont="1" applyFill="1" applyBorder="1"/>
    <xf numFmtId="165" fontId="14" fillId="0" borderId="0" xfId="0" applyNumberFormat="1" applyFont="1"/>
    <xf numFmtId="2" fontId="15" fillId="0" borderId="46" xfId="0" applyNumberFormat="1" applyFont="1" applyFill="1" applyBorder="1"/>
    <xf numFmtId="0" fontId="18" fillId="0" borderId="38" xfId="0" applyFont="1" applyFill="1" applyBorder="1"/>
    <xf numFmtId="4" fontId="14" fillId="0" borderId="1" xfId="0" applyNumberFormat="1" applyFont="1" applyBorder="1" applyAlignment="1">
      <alignment horizontal="justify" vertical="top" wrapText="1"/>
    </xf>
    <xf numFmtId="0" fontId="14" fillId="4" borderId="0" xfId="0" applyFont="1" applyFill="1"/>
    <xf numFmtId="0" fontId="14" fillId="0" borderId="1" xfId="0" applyFont="1" applyBorder="1" applyAlignment="1">
      <alignment wrapText="1" shrinkToFit="1"/>
    </xf>
    <xf numFmtId="165" fontId="14" fillId="0" borderId="11" xfId="0" applyNumberFormat="1" applyFont="1" applyFill="1" applyBorder="1"/>
    <xf numFmtId="4" fontId="21" fillId="0" borderId="40" xfId="0" applyNumberFormat="1" applyFont="1" applyFill="1" applyBorder="1"/>
    <xf numFmtId="4" fontId="21" fillId="0" borderId="25" xfId="0" applyNumberFormat="1" applyFont="1" applyFill="1" applyBorder="1"/>
    <xf numFmtId="0" fontId="23" fillId="0" borderId="41" xfId="0" applyFont="1" applyFill="1" applyBorder="1"/>
    <xf numFmtId="0" fontId="23" fillId="0" borderId="35" xfId="0" applyFont="1" applyFill="1" applyBorder="1"/>
    <xf numFmtId="4" fontId="14" fillId="0" borderId="0" xfId="0" applyNumberFormat="1" applyFont="1"/>
    <xf numFmtId="0" fontId="15" fillId="0" borderId="1" xfId="3" applyFont="1" applyBorder="1" applyAlignment="1">
      <alignment horizontal="left" wrapText="1"/>
    </xf>
    <xf numFmtId="0" fontId="14" fillId="0" borderId="1" xfId="3" applyFont="1" applyBorder="1" applyAlignment="1">
      <alignment horizontal="left" wrapText="1"/>
    </xf>
    <xf numFmtId="0" fontId="14" fillId="0" borderId="1" xfId="4" applyFont="1" applyBorder="1" applyAlignment="1">
      <alignment wrapText="1"/>
    </xf>
    <xf numFmtId="0" fontId="15" fillId="0" borderId="1" xfId="4" applyFont="1" applyBorder="1" applyAlignment="1">
      <alignment wrapText="1"/>
    </xf>
    <xf numFmtId="0" fontId="15" fillId="0" borderId="0" xfId="0" applyFont="1"/>
    <xf numFmtId="0" fontId="23" fillId="0" borderId="1" xfId="4" applyFont="1" applyFill="1" applyBorder="1" applyAlignment="1">
      <alignment wrapText="1"/>
    </xf>
    <xf numFmtId="49" fontId="23" fillId="0" borderId="1" xfId="0" applyNumberFormat="1" applyFont="1" applyFill="1" applyBorder="1"/>
    <xf numFmtId="0" fontId="25" fillId="0" borderId="1" xfId="3" applyFont="1" applyBorder="1" applyAlignment="1">
      <alignment horizontal="left" wrapText="1"/>
    </xf>
    <xf numFmtId="165" fontId="14" fillId="0" borderId="35" xfId="0" applyNumberFormat="1" applyFont="1" applyFill="1" applyBorder="1"/>
    <xf numFmtId="0" fontId="14" fillId="0" borderId="41" xfId="0" applyFont="1" applyFill="1" applyBorder="1"/>
    <xf numFmtId="0" fontId="27" fillId="0" borderId="1" xfId="3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7" fillId="0" borderId="1" xfId="3" applyFont="1" applyBorder="1" applyAlignment="1">
      <alignment wrapText="1"/>
    </xf>
    <xf numFmtId="165" fontId="15" fillId="0" borderId="46" xfId="0" applyNumberFormat="1" applyFont="1" applyFill="1" applyBorder="1"/>
    <xf numFmtId="0" fontId="25" fillId="0" borderId="1" xfId="3" applyFont="1" applyBorder="1" applyAlignment="1">
      <alignment wrapText="1"/>
    </xf>
    <xf numFmtId="0" fontId="14" fillId="0" borderId="1" xfId="3" applyFont="1" applyBorder="1" applyAlignment="1">
      <alignment wrapText="1"/>
    </xf>
    <xf numFmtId="0" fontId="28" fillId="0" borderId="0" xfId="0" applyFont="1"/>
    <xf numFmtId="0" fontId="7" fillId="0" borderId="1" xfId="0" applyFont="1" applyBorder="1" applyAlignment="1">
      <alignment horizontal="left" wrapText="1"/>
    </xf>
    <xf numFmtId="49" fontId="14" fillId="0" borderId="1" xfId="0" applyNumberFormat="1" applyFont="1" applyFill="1" applyBorder="1"/>
    <xf numFmtId="49" fontId="26" fillId="0" borderId="1" xfId="0" applyNumberFormat="1" applyFont="1" applyBorder="1"/>
    <xf numFmtId="4" fontId="26" fillId="0" borderId="1" xfId="0" applyNumberFormat="1" applyFont="1" applyBorder="1"/>
    <xf numFmtId="2" fontId="26" fillId="0" borderId="29" xfId="0" applyNumberFormat="1" applyFont="1" applyFill="1" applyBorder="1"/>
    <xf numFmtId="4" fontId="14" fillId="0" borderId="38" xfId="0" applyNumberFormat="1" applyFont="1" applyFill="1" applyBorder="1"/>
    <xf numFmtId="4" fontId="15" fillId="0" borderId="1" xfId="0" applyNumberFormat="1" applyFont="1" applyBorder="1"/>
    <xf numFmtId="164" fontId="14" fillId="0" borderId="38" xfId="0" applyNumberFormat="1" applyFont="1" applyFill="1" applyBorder="1"/>
    <xf numFmtId="4" fontId="14" fillId="0" borderId="1" xfId="0" applyNumberFormat="1" applyFont="1" applyFill="1" applyBorder="1"/>
    <xf numFmtId="0" fontId="25" fillId="5" borderId="1" xfId="0" applyFont="1" applyFill="1" applyBorder="1" applyAlignment="1">
      <alignment wrapText="1"/>
    </xf>
    <xf numFmtId="49" fontId="14" fillId="5" borderId="1" xfId="0" applyNumberFormat="1" applyFont="1" applyFill="1" applyBorder="1"/>
    <xf numFmtId="4" fontId="14" fillId="5" borderId="1" xfId="0" applyNumberFormat="1" applyFont="1" applyFill="1" applyBorder="1"/>
    <xf numFmtId="0" fontId="26" fillId="0" borderId="1" xfId="4" applyFont="1" applyBorder="1"/>
    <xf numFmtId="0" fontId="25" fillId="0" borderId="1" xfId="4" applyFont="1" applyBorder="1" applyAlignment="1">
      <alignment wrapText="1"/>
    </xf>
    <xf numFmtId="166" fontId="29" fillId="0" borderId="0" xfId="0" applyNumberFormat="1" applyFont="1"/>
    <xf numFmtId="0" fontId="26" fillId="0" borderId="1" xfId="4" applyFont="1" applyBorder="1" applyAlignment="1">
      <alignment wrapText="1"/>
    </xf>
    <xf numFmtId="2" fontId="26" fillId="0" borderId="36" xfId="0" applyNumberFormat="1" applyFont="1" applyFill="1" applyBorder="1"/>
    <xf numFmtId="0" fontId="18" fillId="0" borderId="1" xfId="3" applyFont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2" fontId="15" fillId="0" borderId="0" xfId="0" applyNumberFormat="1" applyFont="1"/>
    <xf numFmtId="0" fontId="14" fillId="0" borderId="1" xfId="0" applyFont="1" applyBorder="1"/>
    <xf numFmtId="0" fontId="26" fillId="0" borderId="1" xfId="4" applyFont="1" applyFill="1" applyBorder="1" applyAlignment="1">
      <alignment wrapText="1"/>
    </xf>
    <xf numFmtId="49" fontId="30" fillId="0" borderId="1" xfId="0" applyNumberFormat="1" applyFont="1" applyBorder="1"/>
    <xf numFmtId="0" fontId="14" fillId="0" borderId="8" xfId="0" applyFont="1" applyFill="1" applyBorder="1"/>
    <xf numFmtId="165" fontId="14" fillId="0" borderId="41" xfId="0" applyNumberFormat="1" applyFont="1" applyFill="1" applyBorder="1"/>
    <xf numFmtId="2" fontId="23" fillId="0" borderId="36" xfId="0" applyNumberFormat="1" applyFont="1" applyFill="1" applyBorder="1"/>
    <xf numFmtId="165" fontId="14" fillId="0" borderId="51" xfId="0" applyNumberFormat="1" applyFont="1" applyFill="1" applyBorder="1"/>
    <xf numFmtId="0" fontId="14" fillId="0" borderId="1" xfId="4" applyFont="1" applyFill="1" applyBorder="1"/>
    <xf numFmtId="0" fontId="27" fillId="0" borderId="1" xfId="4" applyFont="1" applyBorder="1" applyAlignment="1">
      <alignment wrapText="1"/>
    </xf>
    <xf numFmtId="168" fontId="14" fillId="0" borderId="0" xfId="0" applyNumberFormat="1" applyFont="1"/>
    <xf numFmtId="0" fontId="31" fillId="0" borderId="1" xfId="0" applyFont="1" applyBorder="1" applyAlignment="1">
      <alignment wrapText="1"/>
    </xf>
    <xf numFmtId="166" fontId="21" fillId="0" borderId="50" xfId="0" applyNumberFormat="1" applyFont="1" applyFill="1" applyBorder="1"/>
    <xf numFmtId="2" fontId="14" fillId="6" borderId="0" xfId="0" applyNumberFormat="1" applyFont="1" applyFill="1"/>
    <xf numFmtId="2" fontId="23" fillId="0" borderId="0" xfId="0" applyNumberFormat="1" applyFont="1"/>
    <xf numFmtId="0" fontId="23" fillId="0" borderId="0" xfId="0" applyFont="1"/>
    <xf numFmtId="168" fontId="22" fillId="4" borderId="0" xfId="0" applyNumberFormat="1" applyFont="1" applyFill="1"/>
    <xf numFmtId="169" fontId="14" fillId="0" borderId="0" xfId="0" applyNumberFormat="1" applyFont="1"/>
    <xf numFmtId="0" fontId="32" fillId="0" borderId="1" xfId="3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Fill="1" applyBorder="1"/>
    <xf numFmtId="49" fontId="27" fillId="0" borderId="1" xfId="0" applyNumberFormat="1" applyFont="1" applyBorder="1"/>
    <xf numFmtId="165" fontId="14" fillId="0" borderId="47" xfId="0" applyNumberFormat="1" applyFont="1" applyFill="1" applyBorder="1"/>
    <xf numFmtId="49" fontId="25" fillId="0" borderId="1" xfId="0" applyNumberFormat="1" applyFont="1" applyBorder="1"/>
    <xf numFmtId="49" fontId="21" fillId="0" borderId="1" xfId="0" applyNumberFormat="1" applyFont="1" applyFill="1" applyBorder="1"/>
    <xf numFmtId="0" fontId="15" fillId="0" borderId="1" xfId="3" applyFont="1" applyFill="1" applyBorder="1" applyAlignment="1">
      <alignment horizontal="left" wrapText="1"/>
    </xf>
    <xf numFmtId="49" fontId="15" fillId="0" borderId="1" xfId="0" applyNumberFormat="1" applyFont="1" applyFill="1" applyBorder="1"/>
    <xf numFmtId="0" fontId="14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horizontal="left" wrapText="1"/>
    </xf>
    <xf numFmtId="0" fontId="23" fillId="0" borderId="1" xfId="3" applyFont="1" applyBorder="1" applyAlignment="1">
      <alignment horizontal="left" wrapText="1"/>
    </xf>
    <xf numFmtId="0" fontId="26" fillId="0" borderId="1" xfId="3" applyFont="1" applyBorder="1" applyAlignment="1">
      <alignment horizontal="left" wrapText="1"/>
    </xf>
    <xf numFmtId="0" fontId="27" fillId="0" borderId="1" xfId="3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1" fillId="0" borderId="0" xfId="0" applyFont="1"/>
    <xf numFmtId="49" fontId="25" fillId="0" borderId="1" xfId="3" applyNumberFormat="1" applyFont="1" applyBorder="1" applyAlignment="1">
      <alignment horizontal="left" wrapText="1"/>
    </xf>
    <xf numFmtId="0" fontId="26" fillId="0" borderId="1" xfId="3" applyFont="1" applyFill="1" applyBorder="1" applyAlignment="1">
      <alignment horizontal="left"/>
    </xf>
    <xf numFmtId="0" fontId="27" fillId="0" borderId="1" xfId="0" applyFont="1" applyBorder="1" applyAlignment="1">
      <alignment wrapText="1"/>
    </xf>
    <xf numFmtId="4" fontId="15" fillId="0" borderId="38" xfId="0" applyNumberFormat="1" applyFont="1" applyFill="1" applyBorder="1"/>
    <xf numFmtId="4" fontId="15" fillId="0" borderId="46" xfId="0" applyNumberFormat="1" applyFont="1" applyFill="1" applyBorder="1"/>
    <xf numFmtId="4" fontId="14" fillId="0" borderId="1" xfId="0" applyNumberFormat="1" applyFont="1" applyBorder="1"/>
    <xf numFmtId="0" fontId="33" fillId="0" borderId="38" xfId="0" applyFont="1" applyFill="1" applyBorder="1"/>
    <xf numFmtId="0" fontId="33" fillId="0" borderId="46" xfId="0" applyFont="1" applyFill="1" applyBorder="1"/>
    <xf numFmtId="166" fontId="14" fillId="0" borderId="12" xfId="0" applyNumberFormat="1" applyFont="1" applyFill="1" applyBorder="1"/>
    <xf numFmtId="166" fontId="14" fillId="0" borderId="50" xfId="0" applyNumberFormat="1" applyFont="1" applyFill="1" applyBorder="1"/>
    <xf numFmtId="165" fontId="14" fillId="0" borderId="33" xfId="0" applyNumberFormat="1" applyFont="1" applyFill="1" applyBorder="1"/>
    <xf numFmtId="164" fontId="14" fillId="0" borderId="1" xfId="0" applyNumberFormat="1" applyFont="1" applyBorder="1"/>
    <xf numFmtId="1" fontId="14" fillId="0" borderId="38" xfId="0" applyNumberFormat="1" applyFont="1" applyFill="1" applyBorder="1"/>
    <xf numFmtId="0" fontId="14" fillId="0" borderId="3" xfId="0" applyFont="1" applyFill="1" applyBorder="1"/>
    <xf numFmtId="2" fontId="21" fillId="0" borderId="26" xfId="0" applyNumberFormat="1" applyFont="1" applyFill="1" applyBorder="1"/>
    <xf numFmtId="166" fontId="21" fillId="0" borderId="0" xfId="0" applyNumberFormat="1" applyFont="1"/>
    <xf numFmtId="166" fontId="14" fillId="0" borderId="0" xfId="0" applyNumberFormat="1" applyFont="1" applyFill="1"/>
    <xf numFmtId="49" fontId="23" fillId="0" borderId="16" xfId="0" applyNumberFormat="1" applyFont="1" applyBorder="1" applyAlignment="1">
      <alignment horizontal="center"/>
    </xf>
    <xf numFmtId="0" fontId="23" fillId="0" borderId="17" xfId="0" applyFont="1" applyBorder="1"/>
    <xf numFmtId="2" fontId="23" fillId="0" borderId="17" xfId="0" applyNumberFormat="1" applyFont="1" applyBorder="1"/>
    <xf numFmtId="2" fontId="23" fillId="0" borderId="17" xfId="0" applyNumberFormat="1" applyFont="1" applyFill="1" applyBorder="1"/>
    <xf numFmtId="0" fontId="23" fillId="0" borderId="17" xfId="0" applyFont="1" applyFill="1" applyBorder="1"/>
    <xf numFmtId="0" fontId="15" fillId="0" borderId="18" xfId="0" applyFont="1" applyBorder="1"/>
    <xf numFmtId="0" fontId="15" fillId="0" borderId="18" xfId="0" applyFont="1" applyFill="1" applyBorder="1"/>
    <xf numFmtId="0" fontId="15" fillId="0" borderId="1" xfId="0" applyFont="1" applyBorder="1"/>
    <xf numFmtId="0" fontId="15" fillId="0" borderId="1" xfId="0" applyFont="1" applyFill="1" applyBorder="1"/>
    <xf numFmtId="2" fontId="15" fillId="0" borderId="1" xfId="0" applyNumberFormat="1" applyFont="1" applyBorder="1"/>
    <xf numFmtId="165" fontId="15" fillId="0" borderId="1" xfId="0" applyNumberFormat="1" applyFont="1" applyBorder="1"/>
    <xf numFmtId="165" fontId="15" fillId="0" borderId="1" xfId="0" applyNumberFormat="1" applyFont="1" applyFill="1" applyBorder="1"/>
    <xf numFmtId="49" fontId="21" fillId="0" borderId="1" xfId="0" applyNumberFormat="1" applyFont="1" applyBorder="1"/>
    <xf numFmtId="0" fontId="21" fillId="0" borderId="1" xfId="0" applyFont="1" applyBorder="1"/>
    <xf numFmtId="2" fontId="21" fillId="0" borderId="1" xfId="0" applyNumberFormat="1" applyFont="1" applyBorder="1"/>
    <xf numFmtId="49" fontId="15" fillId="0" borderId="49" xfId="0" applyNumberFormat="1" applyFont="1" applyBorder="1"/>
    <xf numFmtId="0" fontId="15" fillId="0" borderId="49" xfId="0" applyFont="1" applyBorder="1"/>
    <xf numFmtId="2" fontId="15" fillId="0" borderId="49" xfId="0" applyNumberFormat="1" applyFont="1" applyBorder="1"/>
    <xf numFmtId="2" fontId="15" fillId="0" borderId="49" xfId="0" applyNumberFormat="1" applyFont="1" applyFill="1" applyBorder="1"/>
    <xf numFmtId="0" fontId="15" fillId="0" borderId="49" xfId="0" applyFont="1" applyFill="1" applyBorder="1"/>
    <xf numFmtId="49" fontId="26" fillId="0" borderId="16" xfId="0" applyNumberFormat="1" applyFont="1" applyBorder="1"/>
    <xf numFmtId="0" fontId="26" fillId="0" borderId="17" xfId="0" applyFont="1" applyBorder="1"/>
    <xf numFmtId="0" fontId="15" fillId="0" borderId="8" xfId="0" applyFont="1" applyFill="1" applyBorder="1"/>
    <xf numFmtId="2" fontId="15" fillId="0" borderId="7" xfId="0" applyNumberFormat="1" applyFont="1" applyFill="1" applyBorder="1"/>
    <xf numFmtId="49" fontId="15" fillId="0" borderId="7" xfId="0" applyNumberFormat="1" applyFont="1" applyBorder="1"/>
    <xf numFmtId="0" fontId="15" fillId="0" borderId="7" xfId="0" applyFont="1" applyBorder="1"/>
    <xf numFmtId="0" fontId="15" fillId="0" borderId="7" xfId="0" applyFont="1" applyFill="1" applyBorder="1"/>
    <xf numFmtId="0" fontId="15" fillId="0" borderId="17" xfId="0" applyFont="1" applyBorder="1"/>
    <xf numFmtId="2" fontId="15" fillId="0" borderId="40" xfId="0" applyNumberFormat="1" applyFont="1" applyFill="1" applyBorder="1"/>
    <xf numFmtId="2" fontId="15" fillId="0" borderId="17" xfId="0" applyNumberFormat="1" applyFont="1" applyFill="1" applyBorder="1"/>
    <xf numFmtId="2" fontId="15" fillId="0" borderId="18" xfId="0" applyNumberFormat="1" applyFont="1" applyBorder="1"/>
    <xf numFmtId="0" fontId="15" fillId="0" borderId="17" xfId="0" applyFont="1" applyFill="1" applyBorder="1"/>
    <xf numFmtId="165" fontId="15" fillId="0" borderId="18" xfId="0" applyNumberFormat="1" applyFont="1" applyBorder="1"/>
    <xf numFmtId="165" fontId="15" fillId="0" borderId="7" xfId="0" applyNumberFormat="1" applyFont="1" applyBorder="1"/>
    <xf numFmtId="165" fontId="15" fillId="0" borderId="7" xfId="0" applyNumberFormat="1" applyFont="1" applyFill="1" applyBorder="1"/>
    <xf numFmtId="49" fontId="23" fillId="0" borderId="16" xfId="0" applyNumberFormat="1" applyFont="1" applyFill="1" applyBorder="1" applyAlignment="1">
      <alignment horizontal="center"/>
    </xf>
    <xf numFmtId="4" fontId="15" fillId="0" borderId="17" xfId="0" applyNumberFormat="1" applyFont="1" applyBorder="1"/>
    <xf numFmtId="4" fontId="15" fillId="0" borderId="17" xfId="0" applyNumberFormat="1" applyFont="1" applyFill="1" applyBorder="1"/>
    <xf numFmtId="4" fontId="15" fillId="0" borderId="18" xfId="0" applyNumberFormat="1" applyFont="1" applyBorder="1"/>
    <xf numFmtId="4" fontId="15" fillId="0" borderId="18" xfId="0" applyNumberFormat="1" applyFont="1" applyFill="1" applyBorder="1"/>
    <xf numFmtId="165" fontId="15" fillId="0" borderId="17" xfId="0" applyNumberFormat="1" applyFont="1" applyBorder="1"/>
    <xf numFmtId="49" fontId="21" fillId="0" borderId="49" xfId="0" applyNumberFormat="1" applyFont="1" applyBorder="1"/>
    <xf numFmtId="0" fontId="21" fillId="0" borderId="49" xfId="0" applyFont="1" applyBorder="1"/>
    <xf numFmtId="2" fontId="21" fillId="0" borderId="49" xfId="0" applyNumberFormat="1" applyFont="1" applyBorder="1"/>
    <xf numFmtId="165" fontId="15" fillId="0" borderId="17" xfId="0" applyNumberFormat="1" applyFont="1" applyFill="1" applyBorder="1"/>
    <xf numFmtId="2" fontId="15" fillId="0" borderId="17" xfId="0" applyNumberFormat="1" applyFont="1" applyBorder="1"/>
    <xf numFmtId="0" fontId="23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49" fontId="14" fillId="0" borderId="16" xfId="0" applyNumberFormat="1" applyFont="1" applyBorder="1"/>
    <xf numFmtId="49" fontId="14" fillId="0" borderId="0" xfId="0" applyNumberFormat="1" applyFont="1"/>
    <xf numFmtId="0" fontId="15" fillId="0" borderId="0" xfId="0" applyFont="1" applyFill="1"/>
    <xf numFmtId="43" fontId="14" fillId="0" borderId="1" xfId="6" applyNumberFormat="1" applyFont="1" applyFill="1" applyBorder="1" applyAlignment="1">
      <alignment horizontal="center" vertical="top" wrapText="1"/>
    </xf>
    <xf numFmtId="43" fontId="14" fillId="0" borderId="1" xfId="6" applyFont="1" applyFill="1" applyBorder="1" applyAlignment="1">
      <alignment horizontal="center" vertical="top" wrapText="1"/>
    </xf>
    <xf numFmtId="43" fontId="14" fillId="0" borderId="0" xfId="6" applyNumberFormat="1" applyFont="1" applyFill="1" applyBorder="1" applyAlignment="1">
      <alignment horizontal="center" vertical="top" wrapText="1"/>
    </xf>
    <xf numFmtId="43" fontId="9" fillId="0" borderId="1" xfId="6" applyFont="1" applyBorder="1" applyAlignment="1">
      <alignment horizontal="center" vertical="center"/>
    </xf>
    <xf numFmtId="43" fontId="14" fillId="3" borderId="1" xfId="6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6" fillId="0" borderId="0" xfId="7" applyFont="1" applyBorder="1" applyAlignment="1">
      <alignment horizontal="left"/>
    </xf>
    <xf numFmtId="0" fontId="13" fillId="0" borderId="0" xfId="7" applyFont="1" applyBorder="1" applyAlignment="1">
      <alignment horizontal="center"/>
    </xf>
    <xf numFmtId="0" fontId="24" fillId="0" borderId="49" xfId="0" applyFont="1" applyBorder="1" applyAlignment="1">
      <alignment vertical="top" wrapText="1"/>
    </xf>
    <xf numFmtId="0" fontId="10" fillId="0" borderId="31" xfId="7" applyFont="1" applyBorder="1" applyAlignment="1">
      <alignment horizontal="center"/>
    </xf>
    <xf numFmtId="0" fontId="10" fillId="0" borderId="29" xfId="7" applyFont="1" applyBorder="1" applyAlignment="1">
      <alignment horizontal="center"/>
    </xf>
    <xf numFmtId="49" fontId="10" fillId="0" borderId="29" xfId="7" applyNumberFormat="1" applyFont="1" applyBorder="1" applyAlignment="1">
      <alignment horizontal="center"/>
    </xf>
    <xf numFmtId="0" fontId="10" fillId="0" borderId="20" xfId="7" applyFont="1" applyBorder="1" applyAlignment="1">
      <alignment horizontal="center"/>
    </xf>
    <xf numFmtId="0" fontId="7" fillId="0" borderId="0" xfId="0" applyFont="1"/>
    <xf numFmtId="0" fontId="8" fillId="0" borderId="20" xfId="7" applyFont="1" applyBorder="1" applyAlignment="1">
      <alignment horizontal="center"/>
    </xf>
    <xf numFmtId="49" fontId="10" fillId="0" borderId="32" xfId="7" applyNumberFormat="1" applyFont="1" applyBorder="1" applyAlignment="1">
      <alignment horizontal="center" vertical="center" wrapText="1"/>
    </xf>
    <xf numFmtId="0" fontId="10" fillId="0" borderId="32" xfId="7" applyFont="1" applyBorder="1" applyAlignment="1">
      <alignment horizontal="center" vertical="center" wrapText="1"/>
    </xf>
    <xf numFmtId="0" fontId="9" fillId="0" borderId="0" xfId="7" applyAlignment="1"/>
    <xf numFmtId="0" fontId="10" fillId="0" borderId="0" xfId="7" applyFont="1" applyAlignment="1">
      <alignment horizontal="center"/>
    </xf>
    <xf numFmtId="0" fontId="10" fillId="0" borderId="0" xfId="7" applyFont="1" applyAlignment="1">
      <alignment horizontal="center" wrapText="1"/>
    </xf>
    <xf numFmtId="0" fontId="6" fillId="0" borderId="0" xfId="7" applyFont="1" applyAlignment="1">
      <alignment horizontal="center"/>
    </xf>
    <xf numFmtId="0" fontId="42" fillId="0" borderId="0" xfId="7" applyFont="1" applyAlignment="1">
      <alignment horizontal="center"/>
    </xf>
    <xf numFmtId="0" fontId="14" fillId="0" borderId="36" xfId="0" applyFont="1" applyFill="1" applyBorder="1"/>
    <xf numFmtId="0" fontId="18" fillId="0" borderId="1" xfId="3" applyFont="1" applyBorder="1" applyAlignment="1">
      <alignment wrapText="1"/>
    </xf>
    <xf numFmtId="0" fontId="15" fillId="0" borderId="1" xfId="3" applyFont="1" applyBorder="1" applyAlignment="1">
      <alignment wrapText="1"/>
    </xf>
    <xf numFmtId="2" fontId="15" fillId="0" borderId="1" xfId="3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/>
    </xf>
    <xf numFmtId="2" fontId="15" fillId="0" borderId="1" xfId="3" applyNumberFormat="1" applyFont="1" applyBorder="1"/>
    <xf numFmtId="0" fontId="1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11" applyFill="1" applyBorder="1"/>
    <xf numFmtId="49" fontId="8" fillId="0" borderId="0" xfId="11" applyNumberFormat="1" applyFont="1" applyFill="1" applyBorder="1" applyAlignment="1">
      <alignment horizontal="center" vertical="center"/>
    </xf>
    <xf numFmtId="0" fontId="8" fillId="0" borderId="0" xfId="11" applyFont="1" applyFill="1" applyBorder="1"/>
    <xf numFmtId="166" fontId="8" fillId="0" borderId="0" xfId="11" applyNumberFormat="1" applyFont="1" applyFill="1" applyBorder="1"/>
    <xf numFmtId="0" fontId="7" fillId="0" borderId="0" xfId="11" applyFont="1" applyFill="1" applyBorder="1" applyAlignment="1"/>
    <xf numFmtId="0" fontId="9" fillId="0" borderId="0" xfId="13" applyAlignment="1">
      <alignment horizontal="left" vertical="center"/>
    </xf>
    <xf numFmtId="0" fontId="8" fillId="0" borderId="0" xfId="14" applyFont="1" applyAlignment="1">
      <alignment wrapText="1"/>
    </xf>
    <xf numFmtId="0" fontId="11" fillId="0" borderId="0" xfId="11" applyFont="1" applyFill="1" applyBorder="1"/>
    <xf numFmtId="0" fontId="45" fillId="0" borderId="0" xfId="12" applyFont="1" applyFill="1" applyBorder="1" applyAlignment="1">
      <alignment horizontal="center" vertical="top"/>
    </xf>
    <xf numFmtId="0" fontId="46" fillId="0" borderId="0" xfId="11" applyFont="1" applyFill="1" applyBorder="1" applyAlignment="1"/>
    <xf numFmtId="166" fontId="46" fillId="0" borderId="0" xfId="11" applyNumberFormat="1" applyFont="1" applyFill="1" applyBorder="1" applyAlignment="1"/>
    <xf numFmtId="0" fontId="7" fillId="0" borderId="3" xfId="11" applyFont="1" applyFill="1" applyBorder="1"/>
    <xf numFmtId="0" fontId="7" fillId="0" borderId="0" xfId="12"/>
    <xf numFmtId="49" fontId="11" fillId="0" borderId="4" xfId="12" applyNumberFormat="1" applyFont="1" applyBorder="1"/>
    <xf numFmtId="49" fontId="13" fillId="0" borderId="6" xfId="12" applyNumberFormat="1" applyFont="1" applyBorder="1"/>
    <xf numFmtId="0" fontId="13" fillId="0" borderId="7" xfId="12" applyFont="1" applyBorder="1" applyAlignment="1">
      <alignment horizontal="center" vertical="top"/>
    </xf>
    <xf numFmtId="0" fontId="13" fillId="0" borderId="8" xfId="12" applyFont="1" applyBorder="1" applyAlignment="1">
      <alignment horizontal="justify" vertical="top"/>
    </xf>
    <xf numFmtId="0" fontId="13" fillId="0" borderId="9" xfId="12" applyFont="1" applyBorder="1" applyAlignment="1">
      <alignment horizontal="justify" vertical="top"/>
    </xf>
    <xf numFmtId="0" fontId="13" fillId="0" borderId="1" xfId="12" applyFont="1" applyBorder="1" applyAlignment="1">
      <alignment horizontal="justify" vertical="top"/>
    </xf>
    <xf numFmtId="49" fontId="44" fillId="0" borderId="10" xfId="12" applyNumberFormat="1" applyFont="1" applyBorder="1"/>
    <xf numFmtId="0" fontId="11" fillId="0" borderId="11" xfId="12" applyFont="1" applyBorder="1" applyAlignment="1">
      <alignment horizontal="center"/>
    </xf>
    <xf numFmtId="0" fontId="11" fillId="0" borderId="13" xfId="12" applyFont="1" applyBorder="1" applyAlignment="1">
      <alignment horizontal="center"/>
    </xf>
    <xf numFmtId="0" fontId="44" fillId="0" borderId="13" xfId="12" applyFont="1" applyBorder="1" applyAlignment="1">
      <alignment horizontal="center"/>
    </xf>
    <xf numFmtId="0" fontId="7" fillId="0" borderId="14" xfId="12" applyBorder="1"/>
    <xf numFmtId="0" fontId="14" fillId="2" borderId="8" xfId="11" applyFont="1" applyFill="1" applyBorder="1"/>
    <xf numFmtId="0" fontId="14" fillId="2" borderId="15" xfId="11" applyFont="1" applyFill="1" applyBorder="1"/>
    <xf numFmtId="49" fontId="15" fillId="2" borderId="16" xfId="11" applyNumberFormat="1" applyFont="1" applyFill="1" applyBorder="1" applyAlignment="1">
      <alignment horizontal="center" vertical="center"/>
    </xf>
    <xf numFmtId="0" fontId="15" fillId="2" borderId="17" xfId="11" applyFont="1" applyFill="1" applyBorder="1" applyAlignment="1">
      <alignment horizontal="justify" vertical="center" wrapText="1"/>
    </xf>
    <xf numFmtId="171" fontId="14" fillId="2" borderId="0" xfId="11" applyNumberFormat="1" applyFont="1" applyFill="1" applyBorder="1"/>
    <xf numFmtId="0" fontId="14" fillId="2" borderId="0" xfId="11" applyFont="1" applyFill="1" applyBorder="1"/>
    <xf numFmtId="0" fontId="14" fillId="2" borderId="7" xfId="11" applyFont="1" applyFill="1" applyBorder="1"/>
    <xf numFmtId="49" fontId="44" fillId="0" borderId="56" xfId="12" applyNumberFormat="1" applyFont="1" applyBorder="1"/>
    <xf numFmtId="0" fontId="9" fillId="0" borderId="57" xfId="13" applyFont="1" applyBorder="1" applyAlignment="1">
      <alignment wrapText="1"/>
    </xf>
    <xf numFmtId="165" fontId="7" fillId="0" borderId="0" xfId="12" applyNumberFormat="1"/>
    <xf numFmtId="49" fontId="44" fillId="0" borderId="6" xfId="12" applyNumberFormat="1" applyFont="1" applyBorder="1"/>
    <xf numFmtId="0" fontId="44" fillId="0" borderId="18" xfId="12" applyFont="1" applyBorder="1" applyAlignment="1">
      <alignment horizontal="justify"/>
    </xf>
    <xf numFmtId="49" fontId="44" fillId="0" borderId="20" xfId="12" applyNumberFormat="1" applyFont="1" applyBorder="1"/>
    <xf numFmtId="0" fontId="9" fillId="0" borderId="1" xfId="13" applyBorder="1" applyAlignment="1">
      <alignment wrapText="1"/>
    </xf>
    <xf numFmtId="49" fontId="48" fillId="0" borderId="20" xfId="12" applyNumberFormat="1" applyFont="1" applyFill="1" applyBorder="1"/>
    <xf numFmtId="0" fontId="44" fillId="0" borderId="1" xfId="12" applyFont="1" applyFill="1" applyBorder="1" applyAlignment="1">
      <alignment horizontal="justify" wrapText="1"/>
    </xf>
    <xf numFmtId="49" fontId="44" fillId="0" borderId="21" xfId="12" applyNumberFormat="1" applyFont="1" applyBorder="1"/>
    <xf numFmtId="0" fontId="7" fillId="0" borderId="59" xfId="11" applyFill="1" applyBorder="1"/>
    <xf numFmtId="0" fontId="7" fillId="0" borderId="23" xfId="11" applyFill="1" applyBorder="1"/>
    <xf numFmtId="49" fontId="15" fillId="2" borderId="59" xfId="11" applyNumberFormat="1" applyFont="1" applyFill="1" applyBorder="1" applyAlignment="1">
      <alignment horizontal="center" vertical="center"/>
    </xf>
    <xf numFmtId="0" fontId="15" fillId="2" borderId="22" xfId="11" applyFont="1" applyFill="1" applyBorder="1" applyAlignment="1">
      <alignment horizontal="justify" vertical="center" wrapText="1"/>
    </xf>
    <xf numFmtId="0" fontId="7" fillId="0" borderId="22" xfId="11" applyFill="1" applyBorder="1"/>
    <xf numFmtId="49" fontId="48" fillId="0" borderId="60" xfId="12" applyNumberFormat="1" applyFont="1" applyBorder="1"/>
    <xf numFmtId="0" fontId="44" fillId="0" borderId="56" xfId="12" applyFont="1" applyBorder="1" applyAlignment="1">
      <alignment horizontal="justify" wrapText="1"/>
    </xf>
    <xf numFmtId="1" fontId="7" fillId="0" borderId="0" xfId="12" applyNumberFormat="1"/>
    <xf numFmtId="0" fontId="7" fillId="0" borderId="8" xfId="11" applyFill="1" applyBorder="1"/>
    <xf numFmtId="0" fontId="7" fillId="0" borderId="15" xfId="11" applyFill="1" applyBorder="1"/>
    <xf numFmtId="49" fontId="7" fillId="0" borderId="6" xfId="11" applyNumberFormat="1" applyFont="1" applyFill="1" applyBorder="1" applyAlignment="1">
      <alignment horizontal="center" vertical="center"/>
    </xf>
    <xf numFmtId="0" fontId="7" fillId="0" borderId="7" xfId="11" applyFill="1" applyBorder="1"/>
    <xf numFmtId="49" fontId="7" fillId="0" borderId="20" xfId="11" applyNumberFormat="1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justify" vertical="center" wrapText="1"/>
    </xf>
    <xf numFmtId="1" fontId="15" fillId="2" borderId="17" xfId="11" applyNumberFormat="1" applyFont="1" applyFill="1" applyBorder="1" applyAlignment="1" applyProtection="1">
      <alignment horizontal="justify" vertical="center"/>
      <protection locked="0"/>
    </xf>
    <xf numFmtId="165" fontId="14" fillId="2" borderId="0" xfId="11" applyNumberFormat="1" applyFont="1" applyFill="1" applyBorder="1"/>
    <xf numFmtId="0" fontId="7" fillId="0" borderId="0" xfId="11" applyFill="1"/>
    <xf numFmtId="0" fontId="7" fillId="0" borderId="24" xfId="11" applyFont="1" applyFill="1" applyBorder="1" applyAlignment="1">
      <alignment horizontal="center" vertical="center"/>
    </xf>
    <xf numFmtId="0" fontId="8" fillId="0" borderId="24" xfId="11" applyFont="1" applyFill="1" applyBorder="1"/>
    <xf numFmtId="166" fontId="8" fillId="0" borderId="24" xfId="11" applyNumberFormat="1" applyFont="1" applyFill="1" applyBorder="1"/>
    <xf numFmtId="0" fontId="7" fillId="0" borderId="0" xfId="11" applyFont="1" applyFill="1"/>
    <xf numFmtId="49" fontId="48" fillId="0" borderId="27" xfId="12" applyNumberFormat="1" applyFont="1" applyBorder="1"/>
    <xf numFmtId="0" fontId="44" fillId="0" borderId="1" xfId="12" applyFont="1" applyBorder="1" applyAlignment="1">
      <alignment horizontal="justify" wrapText="1"/>
    </xf>
    <xf numFmtId="172" fontId="14" fillId="0" borderId="1" xfId="6" applyNumberFormat="1" applyFont="1" applyFill="1" applyBorder="1" applyAlignment="1">
      <alignment horizontal="center" vertical="top" wrapText="1"/>
    </xf>
    <xf numFmtId="2" fontId="15" fillId="0" borderId="36" xfId="0" applyNumberFormat="1" applyFont="1" applyBorder="1"/>
    <xf numFmtId="2" fontId="14" fillId="0" borderId="36" xfId="0" applyNumberFormat="1" applyFont="1" applyBorder="1"/>
    <xf numFmtId="0" fontId="15" fillId="0" borderId="36" xfId="0" applyFont="1" applyFill="1" applyBorder="1"/>
    <xf numFmtId="166" fontId="21" fillId="0" borderId="61" xfId="0" applyNumberFormat="1" applyFont="1" applyFill="1" applyBorder="1"/>
    <xf numFmtId="43" fontId="15" fillId="2" borderId="17" xfId="16" applyNumberFormat="1" applyFont="1" applyFill="1" applyBorder="1" applyAlignment="1" applyProtection="1">
      <alignment vertical="center" wrapText="1"/>
      <protection locked="0"/>
    </xf>
    <xf numFmtId="43" fontId="16" fillId="0" borderId="18" xfId="12" applyNumberFormat="1" applyFont="1" applyBorder="1" applyAlignment="1">
      <alignment horizontal="center"/>
    </xf>
    <xf numFmtId="43" fontId="44" fillId="0" borderId="19" xfId="12" applyNumberFormat="1" applyFont="1" applyBorder="1" applyAlignment="1">
      <alignment horizontal="center"/>
    </xf>
    <xf numFmtId="43" fontId="44" fillId="3" borderId="19" xfId="12" applyNumberFormat="1" applyFont="1" applyFill="1" applyBorder="1" applyAlignment="1">
      <alignment horizontal="center"/>
    </xf>
    <xf numFmtId="43" fontId="7" fillId="3" borderId="7" xfId="12" applyNumberFormat="1" applyFill="1" applyBorder="1" applyAlignment="1">
      <alignment horizontal="center"/>
    </xf>
    <xf numFmtId="43" fontId="7" fillId="0" borderId="18" xfId="12" applyNumberFormat="1" applyBorder="1"/>
    <xf numFmtId="43" fontId="44" fillId="0" borderId="18" xfId="12" applyNumberFormat="1" applyFont="1" applyBorder="1" applyAlignment="1">
      <alignment horizontal="center"/>
    </xf>
    <xf numFmtId="43" fontId="44" fillId="3" borderId="18" xfId="12" applyNumberFormat="1" applyFont="1" applyFill="1" applyBorder="1" applyAlignment="1">
      <alignment horizontal="center"/>
    </xf>
    <xf numFmtId="43" fontId="7" fillId="3" borderId="1" xfId="12" applyNumberFormat="1" applyFill="1" applyBorder="1" applyAlignment="1">
      <alignment horizontal="center"/>
    </xf>
    <xf numFmtId="43" fontId="7" fillId="0" borderId="1" xfId="12" applyNumberFormat="1" applyBorder="1"/>
    <xf numFmtId="43" fontId="44" fillId="0" borderId="1" xfId="12" applyNumberFormat="1" applyFont="1" applyFill="1" applyBorder="1" applyAlignment="1">
      <alignment horizontal="center"/>
    </xf>
    <xf numFmtId="43" fontId="7" fillId="0" borderId="1" xfId="12" applyNumberFormat="1" applyFill="1" applyBorder="1" applyAlignment="1">
      <alignment horizontal="center"/>
    </xf>
    <xf numFmtId="43" fontId="7" fillId="0" borderId="1" xfId="12" applyNumberFormat="1" applyFill="1" applyBorder="1"/>
    <xf numFmtId="43" fontId="35" fillId="0" borderId="1" xfId="12" applyNumberFormat="1" applyFont="1" applyFill="1" applyBorder="1" applyAlignment="1">
      <alignment horizontal="center"/>
    </xf>
    <xf numFmtId="43" fontId="44" fillId="0" borderId="22" xfId="12" applyNumberFormat="1" applyFont="1" applyFill="1" applyBorder="1" applyAlignment="1">
      <alignment horizontal="center"/>
    </xf>
    <xf numFmtId="43" fontId="7" fillId="0" borderId="22" xfId="12" applyNumberFormat="1" applyFill="1" applyBorder="1" applyAlignment="1">
      <alignment horizontal="center"/>
    </xf>
    <xf numFmtId="43" fontId="15" fillId="2" borderId="17" xfId="11" applyNumberFormat="1" applyFont="1" applyFill="1" applyBorder="1" applyAlignment="1">
      <alignment horizontal="center" vertical="center" wrapText="1"/>
    </xf>
    <xf numFmtId="43" fontId="9" fillId="0" borderId="19" xfId="12" applyNumberFormat="1" applyFont="1" applyBorder="1" applyAlignment="1">
      <alignment horizontal="center"/>
    </xf>
    <xf numFmtId="43" fontId="49" fillId="3" borderId="19" xfId="12" applyNumberFormat="1" applyFont="1" applyFill="1" applyBorder="1" applyAlignment="1">
      <alignment horizontal="center"/>
    </xf>
    <xf numFmtId="43" fontId="9" fillId="3" borderId="19" xfId="12" applyNumberFormat="1" applyFont="1" applyFill="1" applyBorder="1" applyAlignment="1">
      <alignment horizontal="center"/>
    </xf>
    <xf numFmtId="43" fontId="9" fillId="0" borderId="18" xfId="12" applyNumberFormat="1" applyFont="1" applyBorder="1" applyAlignment="1">
      <alignment horizontal="center"/>
    </xf>
    <xf numFmtId="43" fontId="49" fillId="3" borderId="18" xfId="12" applyNumberFormat="1" applyFont="1" applyFill="1" applyBorder="1" applyAlignment="1">
      <alignment horizontal="center"/>
    </xf>
    <xf numFmtId="43" fontId="9" fillId="3" borderId="18" xfId="12" applyNumberFormat="1" applyFont="1" applyFill="1" applyBorder="1" applyAlignment="1">
      <alignment horizontal="center"/>
    </xf>
    <xf numFmtId="43" fontId="7" fillId="0" borderId="18" xfId="16" applyNumberFormat="1" applyFont="1" applyFill="1" applyBorder="1" applyAlignment="1" applyProtection="1">
      <alignment horizontal="center" vertical="center" wrapText="1"/>
      <protection locked="0"/>
    </xf>
    <xf numFmtId="43" fontId="7" fillId="0" borderId="18" xfId="16" applyNumberFormat="1" applyFont="1" applyFill="1" applyBorder="1" applyAlignment="1">
      <alignment horizontal="center"/>
    </xf>
    <xf numFmtId="43" fontId="7" fillId="0" borderId="1" xfId="11" applyNumberFormat="1" applyFill="1" applyBorder="1"/>
    <xf numFmtId="43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43" fontId="44" fillId="0" borderId="7" xfId="16" applyNumberFormat="1" applyFont="1" applyFill="1" applyBorder="1" applyAlignment="1">
      <alignment horizontal="center"/>
    </xf>
    <xf numFmtId="43" fontId="15" fillId="2" borderId="17" xfId="11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/>
    <xf numFmtId="168" fontId="14" fillId="0" borderId="29" xfId="0" applyNumberFormat="1" applyFont="1" applyFill="1" applyBorder="1"/>
    <xf numFmtId="168" fontId="23" fillId="0" borderId="1" xfId="0" applyNumberFormat="1" applyFont="1" applyFill="1" applyBorder="1"/>
    <xf numFmtId="168" fontId="15" fillId="0" borderId="29" xfId="0" applyNumberFormat="1" applyFont="1" applyFill="1" applyBorder="1"/>
    <xf numFmtId="168" fontId="26" fillId="0" borderId="1" xfId="0" applyNumberFormat="1" applyFont="1" applyFill="1" applyBorder="1"/>
    <xf numFmtId="168" fontId="15" fillId="0" borderId="18" xfId="0" applyNumberFormat="1" applyFont="1" applyBorder="1"/>
    <xf numFmtId="0" fontId="29" fillId="0" borderId="1" xfId="3" applyFont="1" applyBorder="1" applyAlignment="1">
      <alignment horizontal="left" wrapText="1"/>
    </xf>
    <xf numFmtId="49" fontId="29" fillId="0" borderId="1" xfId="0" applyNumberFormat="1" applyFont="1" applyBorder="1"/>
    <xf numFmtId="0" fontId="29" fillId="0" borderId="38" xfId="0" applyFont="1" applyFill="1" applyBorder="1"/>
    <xf numFmtId="165" fontId="29" fillId="0" borderId="46" xfId="0" applyNumberFormat="1" applyFont="1" applyFill="1" applyBorder="1"/>
    <xf numFmtId="0" fontId="29" fillId="0" borderId="0" xfId="0" applyFont="1"/>
    <xf numFmtId="0" fontId="51" fillId="0" borderId="0" xfId="0" applyFont="1"/>
    <xf numFmtId="2" fontId="51" fillId="0" borderId="0" xfId="0" applyNumberFormat="1" applyFont="1"/>
    <xf numFmtId="49" fontId="23" fillId="0" borderId="4" xfId="3" applyNumberFormat="1" applyFont="1" applyBorder="1" applyAlignment="1">
      <alignment horizontal="center"/>
    </xf>
    <xf numFmtId="0" fontId="15" fillId="0" borderId="44" xfId="0" applyFont="1" applyBorder="1"/>
    <xf numFmtId="49" fontId="23" fillId="0" borderId="1" xfId="3" applyNumberFormat="1" applyFont="1" applyBorder="1" applyAlignment="1">
      <alignment horizontal="center"/>
    </xf>
    <xf numFmtId="4" fontId="39" fillId="3" borderId="47" xfId="7" applyNumberFormat="1" applyFont="1" applyFill="1" applyBorder="1" applyAlignment="1">
      <alignment horizontal="center" vertical="center" wrapText="1"/>
    </xf>
    <xf numFmtId="4" fontId="24" fillId="0" borderId="38" xfId="7" applyNumberFormat="1" applyFont="1" applyBorder="1"/>
    <xf numFmtId="4" fontId="24" fillId="0" borderId="1" xfId="0" applyNumberFormat="1" applyFont="1" applyBorder="1" applyAlignment="1">
      <alignment horizontal="center" wrapText="1"/>
    </xf>
    <xf numFmtId="4" fontId="38" fillId="0" borderId="1" xfId="0" applyNumberFormat="1" applyFont="1" applyBorder="1" applyAlignment="1">
      <alignment horizontal="center" wrapText="1"/>
    </xf>
    <xf numFmtId="4" fontId="24" fillId="0" borderId="49" xfId="0" applyNumberFormat="1" applyFont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173" fontId="9" fillId="0" borderId="0" xfId="7" applyNumberFormat="1" applyFont="1" applyAlignment="1">
      <alignment wrapText="1"/>
    </xf>
    <xf numFmtId="173" fontId="0" fillId="0" borderId="0" xfId="0" applyNumberFormat="1" applyAlignment="1"/>
    <xf numFmtId="173" fontId="0" fillId="0" borderId="0" xfId="0" applyNumberFormat="1"/>
    <xf numFmtId="173" fontId="10" fillId="0" borderId="0" xfId="7" applyNumberFormat="1" applyFont="1" applyAlignment="1">
      <alignment vertical="top" wrapText="1"/>
    </xf>
    <xf numFmtId="173" fontId="11" fillId="0" borderId="0" xfId="7" applyNumberFormat="1" applyFont="1" applyBorder="1" applyAlignment="1">
      <alignment vertical="top" wrapText="1"/>
    </xf>
    <xf numFmtId="173" fontId="17" fillId="0" borderId="55" xfId="0" applyNumberFormat="1" applyFont="1" applyBorder="1" applyAlignment="1">
      <alignment horizontal="center" wrapText="1"/>
    </xf>
    <xf numFmtId="173" fontId="40" fillId="0" borderId="13" xfId="7" applyNumberFormat="1" applyFont="1" applyBorder="1" applyAlignment="1">
      <alignment horizontal="center" vertical="center" wrapText="1"/>
    </xf>
    <xf numFmtId="173" fontId="16" fillId="0" borderId="0" xfId="7" applyNumberFormat="1" applyFont="1" applyBorder="1"/>
    <xf numFmtId="4" fontId="39" fillId="0" borderId="47" xfId="7" applyNumberFormat="1" applyFont="1" applyBorder="1" applyAlignment="1">
      <alignment horizontal="center" vertical="center" wrapText="1"/>
    </xf>
    <xf numFmtId="4" fontId="0" fillId="0" borderId="38" xfId="0" applyNumberFormat="1" applyBorder="1"/>
    <xf numFmtId="4" fontId="0" fillId="0" borderId="47" xfId="0" applyNumberFormat="1" applyBorder="1"/>
    <xf numFmtId="4" fontId="36" fillId="0" borderId="49" xfId="0" applyNumberFormat="1" applyFont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16" fontId="10" fillId="0" borderId="31" xfId="7" applyNumberFormat="1" applyFont="1" applyBorder="1" applyAlignment="1">
      <alignment horizontal="center"/>
    </xf>
    <xf numFmtId="4" fontId="38" fillId="0" borderId="47" xfId="7" applyNumberFormat="1" applyFont="1" applyFill="1" applyBorder="1" applyAlignment="1">
      <alignment horizontal="center" wrapText="1"/>
    </xf>
    <xf numFmtId="0" fontId="15" fillId="0" borderId="1" xfId="0" applyFont="1" applyBorder="1"/>
    <xf numFmtId="0" fontId="36" fillId="0" borderId="0" xfId="5" applyFont="1"/>
    <xf numFmtId="0" fontId="52" fillId="0" borderId="0" xfId="5" applyFont="1"/>
    <xf numFmtId="0" fontId="9" fillId="0" borderId="0" xfId="5"/>
    <xf numFmtId="49" fontId="52" fillId="0" borderId="0" xfId="5" applyNumberFormat="1" applyFont="1" applyAlignment="1">
      <alignment horizontal="right"/>
    </xf>
    <xf numFmtId="49" fontId="36" fillId="0" borderId="0" xfId="5" applyNumberFormat="1" applyFont="1" applyAlignment="1">
      <alignment horizontal="right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wrapText="1"/>
    </xf>
    <xf numFmtId="0" fontId="9" fillId="0" borderId="1" xfId="5" applyFill="1" applyBorder="1" applyAlignment="1">
      <alignment horizontal="center"/>
    </xf>
    <xf numFmtId="49" fontId="24" fillId="0" borderId="1" xfId="5" applyNumberFormat="1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1" xfId="5" applyFont="1" applyBorder="1" applyAlignment="1">
      <alignment vertical="top" wrapText="1"/>
    </xf>
    <xf numFmtId="0" fontId="36" fillId="0" borderId="1" xfId="5" applyFont="1" applyBorder="1" applyAlignment="1">
      <alignment horizontal="justify" vertical="center"/>
    </xf>
    <xf numFmtId="0" fontId="36" fillId="0" borderId="1" xfId="5" applyFont="1" applyBorder="1" applyAlignment="1">
      <alignment horizontal="justify" vertical="center" wrapText="1"/>
    </xf>
    <xf numFmtId="49" fontId="36" fillId="0" borderId="1" xfId="5" applyNumberFormat="1" applyFont="1" applyBorder="1" applyAlignment="1">
      <alignment horizontal="right"/>
    </xf>
    <xf numFmtId="43" fontId="36" fillId="0" borderId="1" xfId="5" applyNumberFormat="1" applyFont="1" applyBorder="1"/>
    <xf numFmtId="171" fontId="36" fillId="0" borderId="1" xfId="5" applyNumberFormat="1" applyFont="1" applyBorder="1" applyAlignment="1">
      <alignment wrapText="1"/>
    </xf>
    <xf numFmtId="0" fontId="36" fillId="0" borderId="1" xfId="5" applyFont="1" applyFill="1" applyBorder="1" applyAlignment="1">
      <alignment horizontal="justify" vertical="center" wrapText="1"/>
    </xf>
    <xf numFmtId="43" fontId="36" fillId="0" borderId="1" xfId="6" applyNumberFormat="1" applyFont="1" applyFill="1" applyBorder="1"/>
    <xf numFmtId="43" fontId="36" fillId="0" borderId="1" xfId="5" applyNumberFormat="1" applyFont="1" applyFill="1" applyBorder="1"/>
    <xf numFmtId="0" fontId="9" fillId="0" borderId="0" xfId="5" applyFill="1"/>
    <xf numFmtId="0" fontId="24" fillId="0" borderId="1" xfId="5" applyFont="1" applyBorder="1" applyAlignment="1">
      <alignment horizontal="justify" vertical="center"/>
    </xf>
    <xf numFmtId="49" fontId="24" fillId="0" borderId="1" xfId="5" applyNumberFormat="1" applyFont="1" applyBorder="1" applyAlignment="1">
      <alignment horizontal="right"/>
    </xf>
    <xf numFmtId="43" fontId="24" fillId="0" borderId="1" xfId="5" applyNumberFormat="1" applyFont="1" applyBorder="1"/>
    <xf numFmtId="171" fontId="24" fillId="0" borderId="1" xfId="5" applyNumberFormat="1" applyFont="1" applyBorder="1" applyAlignment="1">
      <alignment wrapText="1"/>
    </xf>
    <xf numFmtId="0" fontId="6" fillId="0" borderId="0" xfId="5" applyFont="1"/>
    <xf numFmtId="0" fontId="36" fillId="0" borderId="1" xfId="5" applyFont="1" applyBorder="1" applyAlignment="1">
      <alignment vertical="center" wrapText="1"/>
    </xf>
    <xf numFmtId="0" fontId="36" fillId="0" borderId="1" xfId="5" applyFont="1" applyBorder="1" applyAlignment="1">
      <alignment vertical="top" wrapText="1"/>
    </xf>
    <xf numFmtId="49" fontId="36" fillId="3" borderId="1" xfId="5" applyNumberFormat="1" applyFont="1" applyFill="1" applyBorder="1" applyAlignment="1">
      <alignment horizontal="right"/>
    </xf>
    <xf numFmtId="1" fontId="36" fillId="0" borderId="1" xfId="5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" applyFont="1" applyFill="1"/>
    <xf numFmtId="0" fontId="24" fillId="0" borderId="1" xfId="5" applyFont="1" applyBorder="1" applyAlignment="1">
      <alignment vertical="top"/>
    </xf>
    <xf numFmtId="43" fontId="24" fillId="0" borderId="1" xfId="6" applyNumberFormat="1" applyFont="1" applyBorder="1"/>
    <xf numFmtId="43" fontId="24" fillId="0" borderId="1" xfId="5" applyNumberFormat="1" applyFont="1" applyBorder="1" applyAlignment="1">
      <alignment horizontal="right"/>
    </xf>
    <xf numFmtId="0" fontId="24" fillId="0" borderId="0" xfId="5" applyFont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171" fontId="24" fillId="0" borderId="1" xfId="5" applyNumberFormat="1" applyFont="1" applyBorder="1" applyAlignment="1">
      <alignment horizontal="center"/>
    </xf>
    <xf numFmtId="0" fontId="24" fillId="0" borderId="0" xfId="5" applyFont="1" applyAlignment="1">
      <alignment horizontal="center"/>
    </xf>
    <xf numFmtId="0" fontId="9" fillId="0" borderId="0" xfId="5" applyAlignment="1">
      <alignment vertical="center"/>
    </xf>
    <xf numFmtId="171" fontId="9" fillId="0" borderId="0" xfId="5" applyNumberFormat="1"/>
    <xf numFmtId="0" fontId="55" fillId="0" borderId="1" xfId="3" applyFont="1" applyFill="1" applyBorder="1" applyAlignment="1">
      <alignment horizontal="left" wrapText="1"/>
    </xf>
    <xf numFmtId="49" fontId="55" fillId="0" borderId="1" xfId="0" applyNumberFormat="1" applyFont="1" applyFill="1" applyBorder="1"/>
    <xf numFmtId="168" fontId="55" fillId="0" borderId="29" xfId="0" applyNumberFormat="1" applyFont="1" applyFill="1" applyBorder="1"/>
    <xf numFmtId="0" fontId="55" fillId="0" borderId="0" xfId="0" applyFont="1" applyFill="1"/>
    <xf numFmtId="2" fontId="55" fillId="0" borderId="0" xfId="0" applyNumberFormat="1" applyFont="1" applyFill="1"/>
    <xf numFmtId="49" fontId="15" fillId="0" borderId="8" xfId="0" applyNumberFormat="1" applyFont="1" applyBorder="1"/>
    <xf numFmtId="2" fontId="26" fillId="0" borderId="44" xfId="0" applyNumberFormat="1" applyFont="1" applyFill="1" applyBorder="1"/>
    <xf numFmtId="174" fontId="14" fillId="0" borderId="1" xfId="6" applyNumberFormat="1" applyFont="1" applyFill="1" applyBorder="1" applyAlignment="1">
      <alignment horizontal="center" vertical="top" wrapText="1"/>
    </xf>
    <xf numFmtId="43" fontId="14" fillId="0" borderId="1" xfId="6" applyNumberFormat="1" applyFont="1" applyFill="1" applyBorder="1" applyAlignment="1">
      <alignment horizontal="center" vertical="center" wrapText="1"/>
    </xf>
    <xf numFmtId="168" fontId="55" fillId="0" borderId="36" xfId="0" applyNumberFormat="1" applyFont="1" applyFill="1" applyBorder="1"/>
    <xf numFmtId="168" fontId="15" fillId="0" borderId="36" xfId="0" applyNumberFormat="1" applyFont="1" applyFill="1" applyBorder="1"/>
    <xf numFmtId="168" fontId="14" fillId="0" borderId="36" xfId="0" applyNumberFormat="1" applyFont="1" applyFill="1" applyBorder="1"/>
    <xf numFmtId="0" fontId="45" fillId="0" borderId="0" xfId="12" applyFont="1" applyFill="1" applyBorder="1" applyAlignment="1">
      <alignment horizontal="center" vertical="top" wrapText="1"/>
    </xf>
    <xf numFmtId="0" fontId="45" fillId="0" borderId="0" xfId="12" applyFont="1" applyFill="1" applyBorder="1" applyAlignment="1">
      <alignment horizontal="center" vertical="center" wrapText="1"/>
    </xf>
    <xf numFmtId="0" fontId="35" fillId="0" borderId="0" xfId="15" applyAlignment="1">
      <alignment horizontal="center" wrapText="1"/>
    </xf>
    <xf numFmtId="0" fontId="7" fillId="0" borderId="0" xfId="12" applyFont="1" applyFill="1"/>
    <xf numFmtId="49" fontId="48" fillId="0" borderId="27" xfId="12" applyNumberFormat="1" applyFont="1" applyFill="1" applyBorder="1"/>
    <xf numFmtId="43" fontId="9" fillId="0" borderId="18" xfId="12" applyNumberFormat="1" applyFont="1" applyFill="1" applyBorder="1" applyAlignment="1">
      <alignment horizontal="center"/>
    </xf>
    <xf numFmtId="43" fontId="7" fillId="0" borderId="1" xfId="12" applyNumberFormat="1" applyFont="1" applyFill="1" applyBorder="1"/>
    <xf numFmtId="1" fontId="7" fillId="0" borderId="0" xfId="12" applyNumberFormat="1" applyFont="1" applyFill="1"/>
    <xf numFmtId="0" fontId="44" fillId="0" borderId="22" xfId="12" applyFont="1" applyBorder="1" applyAlignment="1">
      <alignment horizontal="justify"/>
    </xf>
    <xf numFmtId="43" fontId="7" fillId="0" borderId="22" xfId="12" applyNumberFormat="1" applyFill="1" applyBorder="1"/>
    <xf numFmtId="49" fontId="44" fillId="0" borderId="29" xfId="12" applyNumberFormat="1" applyFont="1" applyBorder="1"/>
    <xf numFmtId="0" fontId="44" fillId="0" borderId="1" xfId="12" applyFont="1" applyBorder="1" applyAlignment="1">
      <alignment horizontal="justify"/>
    </xf>
    <xf numFmtId="171" fontId="15" fillId="2" borderId="17" xfId="11" applyNumberFormat="1" applyFont="1" applyFill="1" applyBorder="1" applyAlignment="1" applyProtection="1">
      <alignment horizontal="center" vertical="center"/>
      <protection locked="0"/>
    </xf>
    <xf numFmtId="171" fontId="11" fillId="0" borderId="12" xfId="12" applyNumberFormat="1" applyFont="1" applyBorder="1" applyAlignment="1">
      <alignment horizontal="center"/>
    </xf>
    <xf numFmtId="171" fontId="15" fillId="2" borderId="17" xfId="16" applyNumberFormat="1" applyFont="1" applyFill="1" applyBorder="1" applyAlignment="1" applyProtection="1">
      <alignment vertical="center" wrapText="1"/>
      <protection locked="0"/>
    </xf>
    <xf numFmtId="171" fontId="16" fillId="0" borderId="18" xfId="12" applyNumberFormat="1" applyFont="1" applyFill="1" applyBorder="1" applyAlignment="1">
      <alignment horizontal="center"/>
    </xf>
    <xf numFmtId="171" fontId="16" fillId="0" borderId="1" xfId="12" applyNumberFormat="1" applyFont="1" applyFill="1" applyBorder="1" applyAlignment="1">
      <alignment horizontal="center"/>
    </xf>
    <xf numFmtId="171" fontId="15" fillId="2" borderId="17" xfId="11" applyNumberFormat="1" applyFont="1" applyFill="1" applyBorder="1" applyAlignment="1">
      <alignment horizontal="center" vertical="center" wrapText="1"/>
    </xf>
    <xf numFmtId="171" fontId="9" fillId="0" borderId="18" xfId="12" applyNumberFormat="1" applyFont="1" applyFill="1" applyBorder="1" applyAlignment="1">
      <alignment horizontal="center"/>
    </xf>
    <xf numFmtId="171" fontId="9" fillId="0" borderId="1" xfId="12" applyNumberFormat="1" applyFont="1" applyFill="1" applyBorder="1" applyAlignment="1">
      <alignment horizontal="center"/>
    </xf>
    <xf numFmtId="171" fontId="16" fillId="0" borderId="18" xfId="12" applyNumberFormat="1" applyFont="1" applyBorder="1" applyAlignment="1">
      <alignment horizontal="center"/>
    </xf>
    <xf numFmtId="168" fontId="15" fillId="0" borderId="1" xfId="0" applyNumberFormat="1" applyFont="1" applyFill="1" applyBorder="1"/>
    <xf numFmtId="4" fontId="36" fillId="0" borderId="47" xfId="7" applyNumberFormat="1" applyFont="1" applyFill="1" applyBorder="1" applyAlignment="1">
      <alignment horizontal="center" vertical="center" wrapText="1"/>
    </xf>
    <xf numFmtId="4" fontId="35" fillId="0" borderId="38" xfId="0" applyNumberFormat="1" applyFont="1" applyBorder="1"/>
    <xf numFmtId="4" fontId="35" fillId="0" borderId="47" xfId="0" applyNumberFormat="1" applyFont="1" applyBorder="1"/>
    <xf numFmtId="4" fontId="36" fillId="3" borderId="47" xfId="7" applyNumberFormat="1" applyFont="1" applyFill="1" applyBorder="1" applyAlignment="1">
      <alignment horizontal="center" vertical="center" wrapText="1"/>
    </xf>
    <xf numFmtId="4" fontId="36" fillId="0" borderId="47" xfId="7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wrapText="1"/>
    </xf>
    <xf numFmtId="4" fontId="36" fillId="0" borderId="47" xfId="7" applyNumberFormat="1" applyFont="1" applyFill="1" applyBorder="1" applyAlignment="1">
      <alignment horizontal="center" wrapText="1"/>
    </xf>
    <xf numFmtId="0" fontId="36" fillId="0" borderId="29" xfId="7" applyFont="1" applyBorder="1" applyAlignment="1">
      <alignment horizontal="center"/>
    </xf>
    <xf numFmtId="4" fontId="36" fillId="0" borderId="38" xfId="0" applyNumberFormat="1" applyFont="1" applyBorder="1"/>
    <xf numFmtId="0" fontId="15" fillId="0" borderId="49" xfId="7" applyFont="1" applyBorder="1" applyAlignment="1">
      <alignment horizontal="center" vertical="center" wrapText="1"/>
    </xf>
    <xf numFmtId="0" fontId="14" fillId="0" borderId="49" xfId="7" applyFont="1" applyFill="1" applyBorder="1" applyAlignment="1">
      <alignment horizontal="left" vertical="center" wrapText="1"/>
    </xf>
    <xf numFmtId="0" fontId="14" fillId="0" borderId="49" xfId="7" applyFont="1" applyBorder="1" applyAlignment="1">
      <alignment horizontal="left" vertical="center" wrapText="1"/>
    </xf>
    <xf numFmtId="0" fontId="15" fillId="0" borderId="1" xfId="9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3" fontId="14" fillId="0" borderId="1" xfId="8" applyFont="1" applyFill="1" applyBorder="1" applyAlignment="1">
      <alignment horizontal="left" wrapText="1"/>
    </xf>
    <xf numFmtId="0" fontId="32" fillId="0" borderId="49" xfId="7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4" fillId="0" borderId="49" xfId="0" applyFont="1" applyBorder="1" applyAlignment="1">
      <alignment vertical="top" wrapText="1"/>
    </xf>
    <xf numFmtId="43" fontId="36" fillId="0" borderId="1" xfId="5" applyNumberFormat="1" applyFont="1" applyFill="1" applyBorder="1" applyAlignment="1">
      <alignment horizontal="center" wrapText="1"/>
    </xf>
    <xf numFmtId="43" fontId="9" fillId="0" borderId="1" xfId="5" applyNumberFormat="1" applyFill="1" applyBorder="1" applyAlignment="1">
      <alignment horizontal="center"/>
    </xf>
    <xf numFmtId="43" fontId="24" fillId="0" borderId="1" xfId="5" applyNumberFormat="1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horizontal="center"/>
    </xf>
    <xf numFmtId="43" fontId="36" fillId="0" borderId="1" xfId="5" applyNumberFormat="1" applyFont="1" applyFill="1" applyBorder="1" applyAlignment="1">
      <alignment horizontal="center"/>
    </xf>
    <xf numFmtId="43" fontId="54" fillId="0" borderId="1" xfId="5" applyNumberFormat="1" applyFont="1" applyFill="1" applyBorder="1" applyAlignment="1">
      <alignment horizontal="center"/>
    </xf>
    <xf numFmtId="43" fontId="24" fillId="0" borderId="1" xfId="5" applyNumberFormat="1" applyFont="1" applyBorder="1" applyAlignment="1">
      <alignment horizontal="center"/>
    </xf>
    <xf numFmtId="43" fontId="59" fillId="7" borderId="1" xfId="5" applyNumberFormat="1" applyFont="1" applyFill="1" applyBorder="1" applyAlignment="1">
      <alignment horizontal="center"/>
    </xf>
    <xf numFmtId="0" fontId="15" fillId="0" borderId="38" xfId="0" applyFont="1" applyFill="1" applyBorder="1"/>
    <xf numFmtId="177" fontId="9" fillId="0" borderId="18" xfId="12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wrapText="1"/>
    </xf>
    <xf numFmtId="168" fontId="29" fillId="0" borderId="0" xfId="0" applyNumberFormat="1" applyFont="1"/>
    <xf numFmtId="0" fontId="1" fillId="0" borderId="0" xfId="22"/>
    <xf numFmtId="0" fontId="9" fillId="0" borderId="0" xfId="22" applyFont="1"/>
    <xf numFmtId="0" fontId="9" fillId="0" borderId="0" xfId="22" applyFont="1" applyFill="1"/>
    <xf numFmtId="0" fontId="1" fillId="0" borderId="0" xfId="22" applyAlignment="1">
      <alignment horizontal="center"/>
    </xf>
    <xf numFmtId="43" fontId="1" fillId="0" borderId="0" xfId="22" applyNumberFormat="1"/>
    <xf numFmtId="43" fontId="9" fillId="0" borderId="0" xfId="22" applyNumberFormat="1" applyFont="1"/>
    <xf numFmtId="175" fontId="1" fillId="0" borderId="0" xfId="22" applyNumberFormat="1"/>
    <xf numFmtId="175" fontId="9" fillId="0" borderId="0" xfId="22" applyNumberFormat="1" applyFont="1" applyFill="1"/>
    <xf numFmtId="175" fontId="9" fillId="0" borderId="0" xfId="22" applyNumberFormat="1" applyFont="1"/>
    <xf numFmtId="43" fontId="14" fillId="0" borderId="0" xfId="22" applyNumberFormat="1" applyFont="1" applyBorder="1"/>
    <xf numFmtId="0" fontId="1" fillId="0" borderId="0" xfId="22" applyBorder="1"/>
    <xf numFmtId="43" fontId="1" fillId="0" borderId="0" xfId="22" applyNumberFormat="1" applyBorder="1"/>
    <xf numFmtId="0" fontId="9" fillId="0" borderId="0" xfId="22" applyFont="1" applyFill="1" applyBorder="1"/>
    <xf numFmtId="0" fontId="1" fillId="0" borderId="0" xfId="22" applyBorder="1" applyAlignment="1">
      <alignment horizontal="center"/>
    </xf>
    <xf numFmtId="43" fontId="9" fillId="0" borderId="0" xfId="22" applyNumberFormat="1" applyFont="1" applyFill="1" applyBorder="1"/>
    <xf numFmtId="43" fontId="14" fillId="0" borderId="0" xfId="6" applyFont="1" applyFill="1" applyBorder="1" applyAlignment="1">
      <alignment horizontal="center" vertical="top" wrapText="1"/>
    </xf>
    <xf numFmtId="0" fontId="25" fillId="0" borderId="0" xfId="22" applyFont="1" applyFill="1" applyBorder="1" applyAlignment="1">
      <alignment horizontal="center" vertical="top" wrapText="1"/>
    </xf>
    <xf numFmtId="177" fontId="1" fillId="0" borderId="0" xfId="22" applyNumberFormat="1" applyBorder="1"/>
    <xf numFmtId="176" fontId="56" fillId="8" borderId="0" xfId="22" applyNumberFormat="1" applyFont="1" applyFill="1"/>
    <xf numFmtId="177" fontId="14" fillId="3" borderId="1" xfId="23" applyNumberFormat="1" applyFont="1" applyFill="1" applyBorder="1" applyAlignment="1">
      <alignment horizontal="center" vertical="top" wrapText="1"/>
    </xf>
    <xf numFmtId="0" fontId="1" fillId="0" borderId="1" xfId="22" applyBorder="1"/>
    <xf numFmtId="0" fontId="9" fillId="0" borderId="1" xfId="22" applyFont="1" applyBorder="1"/>
    <xf numFmtId="0" fontId="1" fillId="0" borderId="1" xfId="22" applyBorder="1" applyAlignment="1">
      <alignment vertical="top" wrapText="1"/>
    </xf>
    <xf numFmtId="0" fontId="14" fillId="0" borderId="0" xfId="22" applyFont="1" applyBorder="1"/>
    <xf numFmtId="0" fontId="25" fillId="0" borderId="1" xfId="22" applyFont="1" applyFill="1" applyBorder="1" applyAlignment="1">
      <alignment horizontal="left" vertical="top" wrapText="1"/>
    </xf>
    <xf numFmtId="0" fontId="25" fillId="0" borderId="1" xfId="22" applyFont="1" applyFill="1" applyBorder="1" applyAlignment="1">
      <alignment horizontal="center" vertical="top" wrapText="1"/>
    </xf>
    <xf numFmtId="0" fontId="14" fillId="0" borderId="0" xfId="22" applyFont="1"/>
    <xf numFmtId="43" fontId="14" fillId="0" borderId="0" xfId="22" applyNumberFormat="1" applyFont="1"/>
    <xf numFmtId="0" fontId="15" fillId="0" borderId="0" xfId="22" applyFont="1"/>
    <xf numFmtId="0" fontId="14" fillId="0" borderId="1" xfId="22" applyFont="1" applyFill="1" applyBorder="1" applyAlignment="1">
      <alignment horizontal="center" vertical="top" wrapText="1"/>
    </xf>
    <xf numFmtId="0" fontId="14" fillId="0" borderId="0" xfId="22" applyFont="1" applyFill="1"/>
    <xf numFmtId="43" fontId="1" fillId="0" borderId="0" xfId="22" applyNumberFormat="1" applyAlignment="1">
      <alignment horizontal="center"/>
    </xf>
    <xf numFmtId="0" fontId="9" fillId="0" borderId="1" xfId="22" applyFont="1" applyBorder="1" applyAlignment="1">
      <alignment horizontal="center" vertical="center" wrapText="1"/>
    </xf>
    <xf numFmtId="0" fontId="36" fillId="0" borderId="0" xfId="22" applyFont="1" applyBorder="1" applyAlignment="1">
      <alignment horizontal="center" vertical="center" wrapText="1"/>
    </xf>
    <xf numFmtId="0" fontId="36" fillId="0" borderId="0" xfId="22" applyFont="1" applyFill="1" applyBorder="1" applyAlignment="1">
      <alignment horizontal="center" vertical="center" wrapText="1"/>
    </xf>
    <xf numFmtId="0" fontId="1" fillId="0" borderId="0" xfId="22" applyBorder="1" applyAlignment="1">
      <alignment vertical="top"/>
    </xf>
    <xf numFmtId="0" fontId="36" fillId="0" borderId="0" xfId="22" applyFont="1" applyBorder="1" applyAlignment="1">
      <alignment vertical="center" wrapText="1"/>
    </xf>
    <xf numFmtId="0" fontId="1" fillId="0" borderId="0" xfId="22" applyAlignment="1">
      <alignment horizontal="center" vertical="top"/>
    </xf>
    <xf numFmtId="0" fontId="1" fillId="0" borderId="0" xfId="22" applyAlignment="1">
      <alignment vertical="top"/>
    </xf>
    <xf numFmtId="43" fontId="1" fillId="0" borderId="0" xfId="6" applyFont="1" applyAlignment="1">
      <alignment horizontal="center" vertical="center"/>
    </xf>
    <xf numFmtId="0" fontId="25" fillId="0" borderId="1" xfId="22" applyFont="1" applyFill="1" applyBorder="1" applyAlignment="1">
      <alignment horizontal="center" vertical="center" wrapText="1"/>
    </xf>
    <xf numFmtId="0" fontId="1" fillId="0" borderId="0" xfId="22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2" fontId="15" fillId="0" borderId="1" xfId="0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2" fontId="15" fillId="0" borderId="1" xfId="0" applyNumberFormat="1" applyFont="1" applyFill="1" applyBorder="1"/>
    <xf numFmtId="0" fontId="15" fillId="0" borderId="38" xfId="0" applyFont="1" applyFill="1" applyBorder="1"/>
    <xf numFmtId="168" fontId="23" fillId="0" borderId="38" xfId="0" applyNumberFormat="1" applyFont="1" applyFill="1" applyBorder="1"/>
    <xf numFmtId="0" fontId="21" fillId="0" borderId="18" xfId="0" applyFont="1" applyBorder="1" applyAlignment="1">
      <alignment horizontal="center"/>
    </xf>
    <xf numFmtId="49" fontId="21" fillId="0" borderId="18" xfId="0" applyNumberFormat="1" applyFont="1" applyBorder="1"/>
    <xf numFmtId="49" fontId="21" fillId="0" borderId="58" xfId="0" applyNumberFormat="1" applyFont="1" applyBorder="1"/>
    <xf numFmtId="166" fontId="21" fillId="0" borderId="28" xfId="0" applyNumberFormat="1" applyFont="1" applyBorder="1"/>
    <xf numFmtId="2" fontId="21" fillId="0" borderId="58" xfId="0" applyNumberFormat="1" applyFont="1" applyBorder="1"/>
    <xf numFmtId="166" fontId="21" fillId="0" borderId="9" xfId="0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/>
    </xf>
    <xf numFmtId="0" fontId="58" fillId="0" borderId="1" xfId="0" applyFont="1" applyBorder="1"/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66" fontId="14" fillId="0" borderId="1" xfId="0" applyNumberFormat="1" applyFont="1" applyBorder="1"/>
    <xf numFmtId="0" fontId="23" fillId="0" borderId="1" xfId="0" applyFont="1" applyBorder="1"/>
    <xf numFmtId="49" fontId="23" fillId="0" borderId="1" xfId="0" applyNumberFormat="1" applyFont="1" applyBorder="1" applyAlignment="1">
      <alignment horizontal="center"/>
    </xf>
    <xf numFmtId="165" fontId="23" fillId="0" borderId="1" xfId="0" applyNumberFormat="1" applyFont="1" applyBorder="1"/>
    <xf numFmtId="2" fontId="23" fillId="0" borderId="1" xfId="0" applyNumberFormat="1" applyFont="1" applyBorder="1"/>
    <xf numFmtId="165" fontId="14" fillId="0" borderId="1" xfId="0" applyNumberFormat="1" applyFont="1" applyBorder="1"/>
    <xf numFmtId="0" fontId="18" fillId="0" borderId="1" xfId="0" applyFont="1" applyBorder="1"/>
    <xf numFmtId="165" fontId="18" fillId="0" borderId="1" xfId="0" applyNumberFormat="1" applyFont="1" applyBorder="1"/>
    <xf numFmtId="2" fontId="14" fillId="0" borderId="1" xfId="0" applyNumberFormat="1" applyFont="1" applyBorder="1"/>
    <xf numFmtId="49" fontId="1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49" fontId="25" fillId="0" borderId="1" xfId="0" applyNumberFormat="1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" fontId="21" fillId="0" borderId="1" xfId="0" applyNumberFormat="1" applyFont="1" applyBorder="1"/>
    <xf numFmtId="0" fontId="29" fillId="0" borderId="1" xfId="0" applyFont="1" applyBorder="1"/>
    <xf numFmtId="165" fontId="29" fillId="0" borderId="1" xfId="0" applyNumberFormat="1" applyFont="1" applyBorder="1"/>
    <xf numFmtId="0" fontId="23" fillId="0" borderId="1" xfId="0" applyFont="1" applyFill="1" applyBorder="1"/>
    <xf numFmtId="0" fontId="7" fillId="0" borderId="1" xfId="0" applyFont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wrapText="1"/>
    </xf>
    <xf numFmtId="0" fontId="26" fillId="0" borderId="1" xfId="0" applyFont="1" applyBorder="1"/>
    <xf numFmtId="165" fontId="26" fillId="0" borderId="1" xfId="0" applyNumberFormat="1" applyFont="1" applyBorder="1"/>
    <xf numFmtId="0" fontId="30" fillId="0" borderId="1" xfId="0" applyFont="1" applyBorder="1"/>
    <xf numFmtId="165" fontId="30" fillId="0" borderId="1" xfId="0" applyNumberFormat="1" applyFont="1" applyBorder="1"/>
    <xf numFmtId="49" fontId="18" fillId="0" borderId="1" xfId="0" applyNumberFormat="1" applyFont="1" applyFill="1" applyBorder="1"/>
    <xf numFmtId="0" fontId="26" fillId="0" borderId="1" xfId="4" applyFont="1" applyFill="1" applyBorder="1"/>
    <xf numFmtId="0" fontId="21" fillId="6" borderId="1" xfId="0" applyFont="1" applyFill="1" applyBorder="1" applyAlignment="1">
      <alignment horizontal="center" wrapText="1"/>
    </xf>
    <xf numFmtId="49" fontId="21" fillId="6" borderId="1" xfId="0" applyNumberFormat="1" applyFont="1" applyFill="1" applyBorder="1"/>
    <xf numFmtId="2" fontId="21" fillId="6" borderId="1" xfId="0" applyNumberFormat="1" applyFont="1" applyFill="1" applyBorder="1"/>
    <xf numFmtId="166" fontId="21" fillId="6" borderId="1" xfId="0" applyNumberFormat="1" applyFont="1" applyFill="1" applyBorder="1"/>
    <xf numFmtId="0" fontId="33" fillId="0" borderId="1" xfId="0" applyFont="1" applyBorder="1"/>
    <xf numFmtId="0" fontId="21" fillId="0" borderId="1" xfId="0" applyFont="1" applyBorder="1" applyAlignment="1">
      <alignment wrapText="1"/>
    </xf>
    <xf numFmtId="0" fontId="55" fillId="0" borderId="1" xfId="0" applyFont="1" applyFill="1" applyBorder="1"/>
    <xf numFmtId="164" fontId="55" fillId="0" borderId="1" xfId="0" applyNumberFormat="1" applyFont="1" applyFill="1" applyBorder="1"/>
    <xf numFmtId="0" fontId="60" fillId="0" borderId="1" xfId="0" applyFont="1" applyBorder="1" applyAlignment="1">
      <alignment wrapText="1"/>
    </xf>
    <xf numFmtId="168" fontId="14" fillId="0" borderId="0" xfId="0" applyNumberFormat="1" applyFont="1" applyFill="1"/>
    <xf numFmtId="168" fontId="14" fillId="0" borderId="0" xfId="0" applyNumberFormat="1" applyFont="1" applyAlignment="1">
      <alignment vertical="top" wrapText="1"/>
    </xf>
    <xf numFmtId="168" fontId="58" fillId="0" borderId="1" xfId="0" applyNumberFormat="1" applyFont="1" applyBorder="1" applyAlignment="1">
      <alignment horizontal="center" vertical="center"/>
    </xf>
    <xf numFmtId="168" fontId="58" fillId="0" borderId="1" xfId="0" applyNumberFormat="1" applyFont="1" applyFill="1" applyBorder="1" applyAlignment="1">
      <alignment horizontal="center"/>
    </xf>
    <xf numFmtId="168" fontId="58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Border="1"/>
    <xf numFmtId="168" fontId="21" fillId="0" borderId="1" xfId="0" applyNumberFormat="1" applyFont="1" applyFill="1" applyBorder="1"/>
    <xf numFmtId="168" fontId="23" fillId="0" borderId="1" xfId="0" applyNumberFormat="1" applyFont="1" applyBorder="1"/>
    <xf numFmtId="168" fontId="14" fillId="0" borderId="1" xfId="0" applyNumberFormat="1" applyFont="1" applyFill="1" applyBorder="1"/>
    <xf numFmtId="168" fontId="18" fillId="0" borderId="1" xfId="0" applyNumberFormat="1" applyFont="1" applyFill="1" applyBorder="1"/>
    <xf numFmtId="168" fontId="14" fillId="0" borderId="1" xfId="0" applyNumberFormat="1" applyFont="1" applyFill="1" applyBorder="1" applyAlignment="1">
      <alignment horizontal="center"/>
    </xf>
    <xf numFmtId="168" fontId="29" fillId="0" borderId="1" xfId="0" applyNumberFormat="1" applyFont="1" applyFill="1" applyBorder="1"/>
    <xf numFmtId="168" fontId="14" fillId="5" borderId="1" xfId="0" applyNumberFormat="1" applyFont="1" applyFill="1" applyBorder="1"/>
    <xf numFmtId="168" fontId="14" fillId="7" borderId="1" xfId="0" applyNumberFormat="1" applyFont="1" applyFill="1" applyBorder="1"/>
    <xf numFmtId="168" fontId="21" fillId="6" borderId="1" xfId="0" applyNumberFormat="1" applyFont="1" applyFill="1" applyBorder="1"/>
    <xf numFmtId="168" fontId="33" fillId="0" borderId="1" xfId="0" applyNumberFormat="1" applyFont="1" applyFill="1" applyBorder="1"/>
    <xf numFmtId="168" fontId="55" fillId="0" borderId="1" xfId="0" applyNumberFormat="1" applyFont="1" applyFill="1" applyBorder="1"/>
    <xf numFmtId="168" fontId="21" fillId="0" borderId="37" xfId="0" applyNumberFormat="1" applyFont="1" applyFill="1" applyBorder="1"/>
    <xf numFmtId="168" fontId="21" fillId="0" borderId="9" xfId="0" applyNumberFormat="1" applyFont="1" applyFill="1" applyBorder="1"/>
    <xf numFmtId="168" fontId="21" fillId="0" borderId="18" xfId="0" applyNumberFormat="1" applyFont="1" applyFill="1" applyBorder="1"/>
    <xf numFmtId="168" fontId="23" fillId="0" borderId="17" xfId="0" applyNumberFormat="1" applyFont="1" applyBorder="1"/>
    <xf numFmtId="168" fontId="23" fillId="0" borderId="17" xfId="0" applyNumberFormat="1" applyFont="1" applyFill="1" applyBorder="1"/>
    <xf numFmtId="168" fontId="15" fillId="0" borderId="18" xfId="0" applyNumberFormat="1" applyFont="1" applyFill="1" applyBorder="1"/>
    <xf numFmtId="168" fontId="15" fillId="0" borderId="1" xfId="0" applyNumberFormat="1" applyFont="1" applyBorder="1"/>
    <xf numFmtId="168" fontId="15" fillId="0" borderId="49" xfId="0" applyNumberFormat="1" applyFont="1" applyBorder="1"/>
    <xf numFmtId="168" fontId="15" fillId="0" borderId="49" xfId="0" applyNumberFormat="1" applyFont="1" applyFill="1" applyBorder="1"/>
    <xf numFmtId="168" fontId="26" fillId="0" borderId="17" xfId="0" applyNumberFormat="1" applyFont="1" applyBorder="1"/>
    <xf numFmtId="168" fontId="26" fillId="0" borderId="17" xfId="0" applyNumberFormat="1" applyFont="1" applyFill="1" applyBorder="1"/>
    <xf numFmtId="168" fontId="26" fillId="0" borderId="26" xfId="0" applyNumberFormat="1" applyFont="1" applyFill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68" fontId="26" fillId="0" borderId="44" xfId="0" applyNumberFormat="1" applyFont="1" applyFill="1" applyBorder="1"/>
    <xf numFmtId="168" fontId="21" fillId="0" borderId="49" xfId="0" applyNumberFormat="1" applyFont="1" applyBorder="1"/>
    <xf numFmtId="168" fontId="26" fillId="0" borderId="26" xfId="0" applyNumberFormat="1" applyFont="1" applyBorder="1"/>
    <xf numFmtId="168" fontId="34" fillId="0" borderId="17" xfId="0" applyNumberFormat="1" applyFont="1" applyBorder="1"/>
    <xf numFmtId="168" fontId="15" fillId="0" borderId="0" xfId="0" applyNumberFormat="1" applyFont="1" applyFill="1"/>
    <xf numFmtId="2" fontId="7" fillId="0" borderId="0" xfId="0" applyNumberFormat="1" applyFont="1" applyFill="1"/>
    <xf numFmtId="0" fontId="10" fillId="0" borderId="0" xfId="22" applyFont="1" applyAlignment="1">
      <alignment horizontal="left" vertical="top" wrapText="1"/>
    </xf>
    <xf numFmtId="0" fontId="16" fillId="0" borderId="0" xfId="22" applyFont="1" applyAlignment="1">
      <alignment horizontal="center" vertical="top" wrapText="1"/>
    </xf>
    <xf numFmtId="0" fontId="1" fillId="0" borderId="0" xfId="22" applyAlignment="1">
      <alignment horizontal="left" vertical="top"/>
    </xf>
    <xf numFmtId="0" fontId="9" fillId="0" borderId="0" xfId="22" applyFont="1" applyFill="1" applyAlignment="1">
      <alignment horizontal="right"/>
    </xf>
    <xf numFmtId="49" fontId="15" fillId="0" borderId="1" xfId="3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3" applyFont="1" applyAlignment="1">
      <alignment horizontal="left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15" fillId="0" borderId="0" xfId="3" applyFont="1" applyBorder="1" applyAlignment="1">
      <alignment horizontal="center" vertical="center" wrapText="1"/>
    </xf>
    <xf numFmtId="0" fontId="14" fillId="0" borderId="0" xfId="3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3" applyFont="1" applyBorder="1" applyAlignment="1">
      <alignment horizontal="center" wrapText="1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168" fontId="15" fillId="0" borderId="1" xfId="0" applyNumberFormat="1" applyFont="1" applyBorder="1" applyAlignment="1">
      <alignment vertical="center" wrapText="1"/>
    </xf>
    <xf numFmtId="168" fontId="15" fillId="0" borderId="1" xfId="0" applyNumberFormat="1" applyFont="1" applyBorder="1" applyAlignment="1">
      <alignment vertical="center"/>
    </xf>
    <xf numFmtId="168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/>
    <xf numFmtId="168" fontId="15" fillId="0" borderId="1" xfId="0" applyNumberFormat="1" applyFont="1" applyFill="1" applyBorder="1" applyAlignment="1">
      <alignment vertical="center" wrapText="1"/>
    </xf>
    <xf numFmtId="168" fontId="15" fillId="0" borderId="1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/>
    <xf numFmtId="0" fontId="15" fillId="0" borderId="12" xfId="0" applyFont="1" applyFill="1" applyBorder="1"/>
    <xf numFmtId="0" fontId="15" fillId="0" borderId="43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6" fillId="0" borderId="16" xfId="7" applyFont="1" applyBorder="1" applyAlignment="1">
      <alignment horizontal="left"/>
    </xf>
    <xf numFmtId="0" fontId="16" fillId="0" borderId="17" xfId="7" applyFont="1" applyBorder="1" applyAlignment="1">
      <alignment horizontal="left"/>
    </xf>
    <xf numFmtId="3" fontId="40" fillId="3" borderId="53" xfId="7" applyNumberFormat="1" applyFont="1" applyFill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3" fontId="40" fillId="3" borderId="19" xfId="7" applyNumberFormat="1" applyFont="1" applyFill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173" fontId="40" fillId="3" borderId="19" xfId="7" applyNumberFormat="1" applyFont="1" applyFill="1" applyBorder="1" applyAlignment="1">
      <alignment horizontal="center" vertical="center" wrapText="1"/>
    </xf>
    <xf numFmtId="173" fontId="40" fillId="3" borderId="13" xfId="7" applyNumberFormat="1" applyFont="1" applyFill="1" applyBorder="1" applyAlignment="1">
      <alignment horizontal="center" vertical="center" wrapText="1"/>
    </xf>
    <xf numFmtId="173" fontId="9" fillId="0" borderId="0" xfId="7" applyNumberFormat="1" applyFont="1" applyAlignment="1">
      <alignment horizontal="left" wrapText="1"/>
    </xf>
    <xf numFmtId="173" fontId="0" fillId="0" borderId="0" xfId="0" applyNumberFormat="1" applyAlignment="1">
      <alignment horizontal="left"/>
    </xf>
    <xf numFmtId="173" fontId="43" fillId="0" borderId="0" xfId="10" applyNumberFormat="1" applyFont="1" applyAlignment="1">
      <alignment horizontal="left" vertical="top" wrapText="1"/>
    </xf>
    <xf numFmtId="0" fontId="41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173" fontId="4" fillId="0" borderId="52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173" fontId="40" fillId="3" borderId="56" xfId="7" applyNumberFormat="1" applyFont="1" applyFill="1" applyBorder="1" applyAlignment="1">
      <alignment horizontal="center" vertical="center" wrapText="1"/>
    </xf>
    <xf numFmtId="173" fontId="0" fillId="0" borderId="54" xfId="0" applyNumberFormat="1" applyBorder="1" applyAlignment="1">
      <alignment horizontal="center" wrapText="1"/>
    </xf>
    <xf numFmtId="173" fontId="0" fillId="0" borderId="42" xfId="0" applyNumberFormat="1" applyBorder="1" applyAlignment="1">
      <alignment horizontal="center" wrapText="1"/>
    </xf>
    <xf numFmtId="173" fontId="40" fillId="3" borderId="57" xfId="7" applyNumberFormat="1" applyFont="1" applyFill="1" applyBorder="1" applyAlignment="1">
      <alignment horizontal="center" vertical="center" wrapText="1"/>
    </xf>
    <xf numFmtId="173" fontId="0" fillId="0" borderId="54" xfId="0" applyNumberFormat="1" applyBorder="1" applyAlignment="1">
      <alignment horizontal="center" vertical="center" wrapText="1"/>
    </xf>
    <xf numFmtId="173" fontId="0" fillId="0" borderId="42" xfId="0" applyNumberForma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/>
    </xf>
    <xf numFmtId="0" fontId="24" fillId="0" borderId="38" xfId="5" applyFont="1" applyBorder="1" applyAlignment="1">
      <alignment horizontal="center" vertical="center"/>
    </xf>
    <xf numFmtId="0" fontId="15" fillId="0" borderId="0" xfId="3" applyFont="1" applyBorder="1" applyAlignment="1">
      <alignment horizontal="center" wrapText="1"/>
    </xf>
    <xf numFmtId="0" fontId="14" fillId="0" borderId="0" xfId="3" applyFont="1" applyAlignment="1">
      <alignment wrapText="1"/>
    </xf>
    <xf numFmtId="0" fontId="14" fillId="0" borderId="0" xfId="5" applyFont="1" applyAlignment="1">
      <alignment wrapText="1"/>
    </xf>
    <xf numFmtId="0" fontId="24" fillId="0" borderId="2" xfId="5" applyFont="1" applyBorder="1" applyAlignment="1">
      <alignment horizontal="center" wrapText="1"/>
    </xf>
    <xf numFmtId="0" fontId="24" fillId="0" borderId="38" xfId="5" applyFont="1" applyBorder="1" applyAlignment="1">
      <alignment horizontal="center" wrapText="1"/>
    </xf>
    <xf numFmtId="0" fontId="24" fillId="0" borderId="49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 wrapText="1"/>
    </xf>
    <xf numFmtId="0" fontId="24" fillId="0" borderId="18" xfId="5" applyFont="1" applyBorder="1" applyAlignment="1">
      <alignment horizontal="center" vertical="center" wrapText="1"/>
    </xf>
    <xf numFmtId="0" fontId="9" fillId="0" borderId="7" xfId="5" applyBorder="1" applyAlignment="1">
      <alignment horizontal="center" vertical="center" wrapText="1"/>
    </xf>
    <xf numFmtId="0" fontId="9" fillId="0" borderId="18" xfId="5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6" fillId="0" borderId="38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/>
    </xf>
    <xf numFmtId="0" fontId="24" fillId="0" borderId="38" xfId="5" applyFont="1" applyBorder="1" applyAlignment="1">
      <alignment horizontal="center"/>
    </xf>
    <xf numFmtId="49" fontId="36" fillId="0" borderId="0" xfId="5" applyNumberFormat="1" applyFont="1" applyAlignment="1">
      <alignment horizontal="left"/>
    </xf>
    <xf numFmtId="0" fontId="8" fillId="0" borderId="0" xfId="5" applyFont="1" applyAlignment="1">
      <alignment wrapText="1"/>
    </xf>
    <xf numFmtId="0" fontId="53" fillId="0" borderId="0" xfId="5" applyFont="1" applyAlignment="1">
      <alignment horizontal="center" wrapText="1"/>
    </xf>
    <xf numFmtId="0" fontId="36" fillId="0" borderId="0" xfId="5" applyFont="1" applyBorder="1" applyAlignment="1">
      <alignment horizontal="right"/>
    </xf>
    <xf numFmtId="0" fontId="24" fillId="0" borderId="49" xfId="5" applyFont="1" applyBorder="1" applyAlignment="1">
      <alignment horizontal="justify" vertical="center"/>
    </xf>
    <xf numFmtId="0" fontId="9" fillId="0" borderId="7" xfId="5" applyBorder="1"/>
    <xf numFmtId="0" fontId="9" fillId="0" borderId="18" xfId="5" applyBorder="1"/>
    <xf numFmtId="0" fontId="24" fillId="0" borderId="7" xfId="5" applyFont="1" applyBorder="1" applyAlignment="1">
      <alignment horizontal="justify" vertical="center"/>
    </xf>
    <xf numFmtId="0" fontId="24" fillId="0" borderId="18" xfId="5" applyFont="1" applyBorder="1" applyAlignment="1">
      <alignment horizontal="justify" vertical="center"/>
    </xf>
    <xf numFmtId="49" fontId="24" fillId="0" borderId="2" xfId="5" applyNumberFormat="1" applyFont="1" applyBorder="1" applyAlignment="1">
      <alignment horizontal="right"/>
    </xf>
    <xf numFmtId="49" fontId="24" fillId="0" borderId="36" xfId="5" applyNumberFormat="1" applyFont="1" applyBorder="1" applyAlignment="1">
      <alignment horizontal="right"/>
    </xf>
    <xf numFmtId="49" fontId="24" fillId="0" borderId="38" xfId="5" applyNumberFormat="1" applyFont="1" applyBorder="1" applyAlignment="1">
      <alignment horizontal="right"/>
    </xf>
    <xf numFmtId="0" fontId="24" fillId="0" borderId="36" xfId="5" applyFont="1" applyBorder="1" applyAlignment="1">
      <alignment horizontal="center"/>
    </xf>
    <xf numFmtId="0" fontId="24" fillId="0" borderId="36" xfId="5" applyFont="1" applyBorder="1" applyAlignment="1">
      <alignment horizontal="center" wrapText="1"/>
    </xf>
    <xf numFmtId="0" fontId="24" fillId="0" borderId="2" xfId="5" applyFont="1" applyFill="1" applyBorder="1" applyAlignment="1">
      <alignment horizontal="center" wrapText="1"/>
    </xf>
    <xf numFmtId="0" fontId="9" fillId="0" borderId="36" xfId="5" applyFill="1" applyBorder="1" applyAlignment="1">
      <alignment horizontal="center"/>
    </xf>
    <xf numFmtId="0" fontId="9" fillId="0" borderId="38" xfId="5" applyFill="1" applyBorder="1" applyAlignment="1">
      <alignment horizontal="center"/>
    </xf>
    <xf numFmtId="49" fontId="24" fillId="0" borderId="49" xfId="5" applyNumberFormat="1" applyFont="1" applyBorder="1" applyAlignment="1">
      <alignment horizontal="center" vertical="top" wrapText="1"/>
    </xf>
    <xf numFmtId="49" fontId="24" fillId="0" borderId="18" xfId="5" applyNumberFormat="1" applyFont="1" applyBorder="1" applyAlignment="1">
      <alignment horizontal="center" vertical="top" wrapText="1"/>
    </xf>
    <xf numFmtId="49" fontId="24" fillId="0" borderId="49" xfId="5" applyNumberFormat="1" applyFont="1" applyBorder="1" applyAlignment="1">
      <alignment horizontal="center" vertical="center"/>
    </xf>
    <xf numFmtId="49" fontId="24" fillId="0" borderId="18" xfId="5" applyNumberFormat="1" applyFont="1" applyBorder="1" applyAlignment="1">
      <alignment horizontal="center" vertical="center"/>
    </xf>
    <xf numFmtId="0" fontId="12" fillId="0" borderId="5" xfId="12" applyFont="1" applyBorder="1" applyAlignment="1">
      <alignment horizontal="center" wrapText="1"/>
    </xf>
    <xf numFmtId="0" fontId="12" fillId="0" borderId="58" xfId="12" applyFont="1" applyBorder="1" applyAlignment="1">
      <alignment horizontal="center" wrapText="1"/>
    </xf>
    <xf numFmtId="0" fontId="45" fillId="0" borderId="4" xfId="12" applyFont="1" applyBorder="1" applyAlignment="1">
      <alignment horizontal="center" vertical="center" wrapText="1"/>
    </xf>
    <xf numFmtId="0" fontId="47" fillId="0" borderId="6" xfId="13" applyFont="1" applyBorder="1" applyAlignment="1">
      <alignment horizontal="center" vertical="center" wrapText="1"/>
    </xf>
    <xf numFmtId="1" fontId="12" fillId="0" borderId="57" xfId="12" applyNumberFormat="1" applyFont="1" applyBorder="1" applyAlignment="1">
      <alignment horizontal="center" wrapText="1"/>
    </xf>
    <xf numFmtId="1" fontId="12" fillId="0" borderId="54" xfId="12" applyNumberFormat="1" applyFont="1" applyBorder="1" applyAlignment="1">
      <alignment horizontal="center" wrapText="1"/>
    </xf>
    <xf numFmtId="0" fontId="44" fillId="0" borderId="0" xfId="12" applyFont="1" applyAlignment="1">
      <alignment horizontal="left" vertical="center" wrapText="1"/>
    </xf>
    <xf numFmtId="0" fontId="44" fillId="0" borderId="0" xfId="13" applyFont="1" applyAlignment="1">
      <alignment horizontal="left" vertical="center" wrapText="1"/>
    </xf>
    <xf numFmtId="0" fontId="9" fillId="0" borderId="0" xfId="13" applyFont="1" applyAlignment="1">
      <alignment horizontal="left" vertical="center" wrapText="1"/>
    </xf>
    <xf numFmtId="0" fontId="9" fillId="0" borderId="0" xfId="13" applyAlignment="1">
      <alignment horizontal="left" vertical="center" wrapText="1"/>
    </xf>
    <xf numFmtId="0" fontId="10" fillId="0" borderId="0" xfId="13" applyFont="1" applyAlignment="1">
      <alignment horizontal="left" vertical="top" wrapText="1"/>
    </xf>
    <xf numFmtId="0" fontId="45" fillId="0" borderId="0" xfId="12" applyFont="1" applyFill="1" applyBorder="1" applyAlignment="1">
      <alignment horizontal="center" vertical="top" wrapText="1"/>
    </xf>
    <xf numFmtId="0" fontId="35" fillId="0" borderId="0" xfId="15" applyAlignment="1">
      <alignment horizontal="center" vertical="top"/>
    </xf>
    <xf numFmtId="0" fontId="45" fillId="0" borderId="0" xfId="12" applyFont="1" applyFill="1" applyBorder="1" applyAlignment="1">
      <alignment horizontal="center" vertical="center" wrapText="1"/>
    </xf>
    <xf numFmtId="0" fontId="35" fillId="0" borderId="0" xfId="15" applyAlignment="1">
      <alignment horizontal="center" wrapText="1"/>
    </xf>
  </cellXfs>
  <cellStyles count="24">
    <cellStyle name="Денежный 2" xfId="10"/>
    <cellStyle name="Обычный" xfId="0" builtinId="0"/>
    <cellStyle name="Обычный 2" xfId="5"/>
    <cellStyle name="Обычный 2 2" xfId="19"/>
    <cellStyle name="Обычный 2 3" xfId="20"/>
    <cellStyle name="Обычный 3" xfId="15"/>
    <cellStyle name="Обычный 4" xfId="17"/>
    <cellStyle name="Обычный 5" xfId="21"/>
    <cellStyle name="Обычный 6" xfId="22"/>
    <cellStyle name="Обычный_ПР 13 фин.помощь1" xfId="12"/>
    <cellStyle name="Обычный_Прил 22,23,24" xfId="11"/>
    <cellStyle name="Обычный_Прил 5,6,8,18" xfId="13"/>
    <cellStyle name="Обычный_прил 7,9-2009-2010 нов классиф." xfId="4"/>
    <cellStyle name="Обычный_прилож 8,10 -2008г." xfId="3"/>
    <cellStyle name="Обычный_Прилож.№9 кап.стр." xfId="7"/>
    <cellStyle name="Обычный_Прилож_МР" xfId="14"/>
    <cellStyle name="Обычный_Район 2006г." xfId="9"/>
    <cellStyle name="Тысячи [0]_перечис.11" xfId="1"/>
    <cellStyle name="Тысячи_перечис.11" xfId="2"/>
    <cellStyle name="Финансовый 2" xfId="6"/>
    <cellStyle name="Финансовый 3" xfId="18"/>
    <cellStyle name="Финансовый 4" xfId="23"/>
    <cellStyle name="Финансовый_прил 9,11-2009-2010гг(окончательный)" xfId="8"/>
    <cellStyle name="Финансовый_Прилож_МР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Application%20Data\Microsoft\Excel\&#1055;&#1088;&#1080;&#1083;&#1086;&#1078;&#1077;&#1085;&#1080;&#1103;%208,10(2011&#1075;-2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8 (2011г)"/>
      <sheetName val="10 прил(2011г)чистовик"/>
    </sheetNames>
    <sheetDataSet>
      <sheetData sheetId="0" refreshError="1"/>
      <sheetData sheetId="1" refreshError="1">
        <row r="651">
          <cell r="J651">
            <v>1080.095</v>
          </cell>
          <cell r="K651">
            <v>0</v>
          </cell>
        </row>
        <row r="652">
          <cell r="J652">
            <v>1677.1489999999999</v>
          </cell>
          <cell r="K652">
            <v>0</v>
          </cell>
        </row>
        <row r="653">
          <cell r="J653">
            <v>17629.555999999997</v>
          </cell>
          <cell r="K653">
            <v>1264</v>
          </cell>
        </row>
        <row r="654">
          <cell r="J654">
            <v>0</v>
          </cell>
          <cell r="K654">
            <v>0</v>
          </cell>
        </row>
        <row r="655">
          <cell r="J655">
            <v>3205.056</v>
          </cell>
          <cell r="K655">
            <v>0</v>
          </cell>
        </row>
        <row r="656">
          <cell r="J656">
            <v>134.28892999999999</v>
          </cell>
          <cell r="K656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1596.53</v>
          </cell>
          <cell r="K660">
            <v>450</v>
          </cell>
        </row>
        <row r="661">
          <cell r="J661">
            <v>0</v>
          </cell>
          <cell r="K661">
            <v>0</v>
          </cell>
        </row>
        <row r="665">
          <cell r="J665">
            <v>500</v>
          </cell>
          <cell r="K665">
            <v>200</v>
          </cell>
        </row>
        <row r="666">
          <cell r="J666">
            <v>75</v>
          </cell>
          <cell r="K666">
            <v>0</v>
          </cell>
        </row>
        <row r="668">
          <cell r="J668">
            <v>160</v>
          </cell>
          <cell r="K668">
            <v>70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2534.703</v>
          </cell>
          <cell r="K671">
            <v>0</v>
          </cell>
        </row>
        <row r="673">
          <cell r="J673">
            <v>1400</v>
          </cell>
          <cell r="K673">
            <v>80</v>
          </cell>
        </row>
        <row r="674">
          <cell r="J674">
            <v>14356.14</v>
          </cell>
          <cell r="K674">
            <v>710.6</v>
          </cell>
        </row>
        <row r="675">
          <cell r="J675">
            <v>300</v>
          </cell>
          <cell r="K675">
            <v>200</v>
          </cell>
        </row>
        <row r="676">
          <cell r="J676">
            <v>0</v>
          </cell>
          <cell r="K676">
            <v>0</v>
          </cell>
        </row>
        <row r="678">
          <cell r="J678">
            <v>565</v>
          </cell>
          <cell r="K678">
            <v>263</v>
          </cell>
        </row>
        <row r="679">
          <cell r="J679">
            <v>191668.53093000001</v>
          </cell>
          <cell r="K679">
            <v>4208.9560600000004</v>
          </cell>
        </row>
        <row r="680">
          <cell r="J680">
            <v>740.91</v>
          </cell>
          <cell r="K680">
            <v>0</v>
          </cell>
        </row>
        <row r="681">
          <cell r="J681">
            <v>2380.06</v>
          </cell>
          <cell r="K681">
            <v>0</v>
          </cell>
        </row>
        <row r="682">
          <cell r="J682">
            <v>7032.5659999999998</v>
          </cell>
          <cell r="K682">
            <v>1.25498</v>
          </cell>
        </row>
        <row r="684">
          <cell r="J684">
            <v>4058.8519999999999</v>
          </cell>
          <cell r="K684">
            <v>648.88</v>
          </cell>
        </row>
        <row r="685">
          <cell r="J685">
            <v>0</v>
          </cell>
          <cell r="K685">
            <v>0</v>
          </cell>
        </row>
        <row r="687">
          <cell r="J687">
            <v>0</v>
          </cell>
          <cell r="K687">
            <v>0</v>
          </cell>
          <cell r="L687">
            <v>0</v>
          </cell>
        </row>
        <row r="689">
          <cell r="J689">
            <v>38155.259999999995</v>
          </cell>
          <cell r="K689">
            <v>100</v>
          </cell>
        </row>
        <row r="690">
          <cell r="J690">
            <v>4948.8</v>
          </cell>
          <cell r="K690">
            <v>0</v>
          </cell>
        </row>
        <row r="691">
          <cell r="J691">
            <v>749.9</v>
          </cell>
          <cell r="K691">
            <v>0</v>
          </cell>
        </row>
        <row r="692">
          <cell r="J692">
            <v>0</v>
          </cell>
          <cell r="K692">
            <v>0</v>
          </cell>
        </row>
        <row r="694">
          <cell r="J694">
            <v>0</v>
          </cell>
          <cell r="K694">
            <v>0</v>
          </cell>
          <cell r="L694">
            <v>0</v>
          </cell>
        </row>
        <row r="696">
          <cell r="J696">
            <v>1593.18</v>
          </cell>
          <cell r="K696">
            <v>0</v>
          </cell>
        </row>
        <row r="697">
          <cell r="J697">
            <v>6711.6473999999998</v>
          </cell>
          <cell r="K697">
            <v>212.857</v>
          </cell>
        </row>
        <row r="698">
          <cell r="J698">
            <v>44962.2</v>
          </cell>
          <cell r="K698">
            <v>725.70600000000002</v>
          </cell>
        </row>
        <row r="699">
          <cell r="J699">
            <v>10903.6</v>
          </cell>
          <cell r="K699">
            <v>0</v>
          </cell>
        </row>
        <row r="700">
          <cell r="J700">
            <v>1997.3809999999999</v>
          </cell>
          <cell r="K7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9"/>
  <sheetViews>
    <sheetView view="pageBreakPreview" zoomScale="60" zoomScaleNormal="82" workbookViewId="0">
      <selection activeCell="B6" sqref="B6:F6"/>
    </sheetView>
  </sheetViews>
  <sheetFormatPr defaultRowHeight="15"/>
  <cols>
    <col min="1" max="1" width="9.28515625" style="525" customWidth="1"/>
    <col min="2" max="2" width="26.28515625" style="522" customWidth="1"/>
    <col min="3" max="3" width="50.85546875" style="522" customWidth="1"/>
    <col min="4" max="4" width="15.5703125" style="524" customWidth="1"/>
    <col min="5" max="5" width="15.5703125" style="523" customWidth="1"/>
    <col min="6" max="6" width="17.28515625" style="522" customWidth="1"/>
    <col min="7" max="7" width="15.42578125" style="522" hidden="1" customWidth="1"/>
    <col min="8" max="8" width="13.85546875" style="522" hidden="1" customWidth="1"/>
    <col min="9" max="9" width="0" style="522" hidden="1" customWidth="1"/>
    <col min="10" max="10" width="17.7109375" style="522" customWidth="1"/>
    <col min="11" max="11" width="13.85546875" style="522" bestFit="1" customWidth="1"/>
    <col min="12" max="12" width="17" style="522" bestFit="1" customWidth="1"/>
    <col min="13" max="14" width="16" style="522" bestFit="1" customWidth="1"/>
    <col min="15" max="16384" width="9.140625" style="522"/>
  </cols>
  <sheetData>
    <row r="1" spans="1:11">
      <c r="A1" s="559"/>
      <c r="B1" s="560"/>
      <c r="C1" s="560"/>
      <c r="D1" s="659"/>
      <c r="E1" s="659"/>
      <c r="F1" s="659"/>
    </row>
    <row r="2" spans="1:11" ht="12.75" customHeight="1">
      <c r="A2" s="559"/>
      <c r="B2" s="560"/>
      <c r="C2" s="560"/>
      <c r="D2" s="658" t="s">
        <v>616</v>
      </c>
      <c r="E2" s="658"/>
      <c r="F2" s="658"/>
    </row>
    <row r="3" spans="1:11" ht="0.75" customHeight="1">
      <c r="A3" s="559"/>
      <c r="B3" s="560"/>
    </row>
    <row r="4" spans="1:11" ht="82.5" customHeight="1">
      <c r="A4" s="559"/>
      <c r="B4" s="560"/>
      <c r="D4" s="656" t="s">
        <v>1217</v>
      </c>
      <c r="E4" s="656"/>
      <c r="F4" s="656"/>
    </row>
    <row r="5" spans="1:11" ht="12.75" hidden="1" customHeight="1">
      <c r="A5" s="561"/>
      <c r="B5" s="560"/>
      <c r="C5" s="560"/>
    </row>
    <row r="6" spans="1:11" ht="12.75" customHeight="1">
      <c r="A6" s="559"/>
      <c r="B6" s="657" t="s">
        <v>617</v>
      </c>
      <c r="C6" s="657"/>
      <c r="D6" s="657"/>
      <c r="E6" s="657"/>
      <c r="F6" s="657"/>
    </row>
    <row r="7" spans="1:11" s="532" customFormat="1" ht="15.75" customHeight="1">
      <c r="A7" s="558"/>
      <c r="B7" s="557"/>
      <c r="C7" s="557"/>
      <c r="D7" s="556"/>
      <c r="E7" s="555"/>
      <c r="F7" s="563" t="s">
        <v>1038</v>
      </c>
    </row>
    <row r="8" spans="1:11" s="548" customFormat="1" ht="68.25" customHeight="1">
      <c r="A8" s="562" t="s">
        <v>618</v>
      </c>
      <c r="B8" s="562" t="s">
        <v>619</v>
      </c>
      <c r="C8" s="562" t="s">
        <v>620</v>
      </c>
      <c r="D8" s="463" t="s">
        <v>621</v>
      </c>
      <c r="E8" s="463" t="s">
        <v>622</v>
      </c>
      <c r="F8" s="463" t="s">
        <v>623</v>
      </c>
    </row>
    <row r="9" spans="1:11" s="525" customFormat="1" ht="12.75" customHeight="1">
      <c r="A9" s="554">
        <v>1</v>
      </c>
      <c r="B9" s="554">
        <v>2</v>
      </c>
      <c r="C9" s="554">
        <v>3</v>
      </c>
      <c r="D9" s="554">
        <v>4</v>
      </c>
      <c r="E9" s="554">
        <v>5</v>
      </c>
      <c r="F9" s="554">
        <v>6</v>
      </c>
      <c r="J9" s="553"/>
    </row>
    <row r="10" spans="1:11" s="548" customFormat="1" ht="19.5" customHeight="1">
      <c r="A10" s="547" t="s">
        <v>624</v>
      </c>
      <c r="B10" s="546" t="s">
        <v>625</v>
      </c>
      <c r="C10" s="546" t="s">
        <v>626</v>
      </c>
      <c r="D10" s="248">
        <f>D11+D60</f>
        <v>70730.938580000002</v>
      </c>
      <c r="E10" s="248">
        <f>E11+E60</f>
        <v>1594.1871200000005</v>
      </c>
      <c r="F10" s="248">
        <f>F11+F60</f>
        <v>72325.125700000004</v>
      </c>
      <c r="J10" s="549"/>
      <c r="K10" s="549"/>
    </row>
    <row r="11" spans="1:11" s="548" customFormat="1" ht="15" customHeight="1">
      <c r="A11" s="547"/>
      <c r="B11" s="546"/>
      <c r="C11" s="546" t="s">
        <v>627</v>
      </c>
      <c r="D11" s="248">
        <f>D12+D21+D27+D37+D43</f>
        <v>54337.032319999998</v>
      </c>
      <c r="E11" s="248">
        <f>E12+E21+E27+E37+E43</f>
        <v>600</v>
      </c>
      <c r="F11" s="248">
        <f>F12+F21+F27+F37+F43</f>
        <v>54937.032319999998</v>
      </c>
      <c r="J11" s="549"/>
      <c r="K11" s="549"/>
    </row>
    <row r="12" spans="1:11" s="552" customFormat="1" ht="23.25" customHeight="1">
      <c r="A12" s="547" t="s">
        <v>624</v>
      </c>
      <c r="B12" s="546" t="s">
        <v>628</v>
      </c>
      <c r="C12" s="546" t="s">
        <v>629</v>
      </c>
      <c r="D12" s="248">
        <f>D13</f>
        <v>34024.032319999998</v>
      </c>
      <c r="E12" s="248">
        <f>E13</f>
        <v>0</v>
      </c>
      <c r="F12" s="248">
        <f>F13</f>
        <v>34024.032319999998</v>
      </c>
      <c r="J12" s="549"/>
      <c r="K12" s="549"/>
    </row>
    <row r="13" spans="1:11" s="552" customFormat="1" ht="24" customHeight="1">
      <c r="A13" s="547" t="s">
        <v>630</v>
      </c>
      <c r="B13" s="546" t="s">
        <v>631</v>
      </c>
      <c r="C13" s="546" t="s">
        <v>632</v>
      </c>
      <c r="D13" s="248">
        <f>D14+D15+D19+D18</f>
        <v>34024.032319999998</v>
      </c>
      <c r="E13" s="248">
        <f>E14+E15+E19+E18</f>
        <v>0</v>
      </c>
      <c r="F13" s="248">
        <f>F14+F15+F19+F18</f>
        <v>34024.032319999998</v>
      </c>
      <c r="J13" s="549"/>
      <c r="K13" s="549"/>
    </row>
    <row r="14" spans="1:11" s="548" customFormat="1" ht="61.5" customHeight="1">
      <c r="A14" s="547" t="s">
        <v>630</v>
      </c>
      <c r="B14" s="546" t="s">
        <v>633</v>
      </c>
      <c r="C14" s="546" t="s">
        <v>634</v>
      </c>
      <c r="D14" s="248">
        <v>500</v>
      </c>
      <c r="E14" s="248">
        <f>F14-D14</f>
        <v>0</v>
      </c>
      <c r="F14" s="248">
        <v>500</v>
      </c>
      <c r="J14" s="549"/>
      <c r="K14" s="549"/>
    </row>
    <row r="15" spans="1:11" s="550" customFormat="1" ht="58.5" customHeight="1">
      <c r="A15" s="547" t="s">
        <v>630</v>
      </c>
      <c r="B15" s="546" t="s">
        <v>635</v>
      </c>
      <c r="C15" s="546" t="s">
        <v>636</v>
      </c>
      <c r="D15" s="248">
        <f>D16+D17</f>
        <v>33491.632319999997</v>
      </c>
      <c r="E15" s="248">
        <f>E16+E17</f>
        <v>0</v>
      </c>
      <c r="F15" s="248">
        <f>F16+F17</f>
        <v>33491.632319999997</v>
      </c>
      <c r="J15" s="549"/>
      <c r="K15" s="549"/>
    </row>
    <row r="16" spans="1:11" s="548" customFormat="1" ht="124.5" customHeight="1">
      <c r="A16" s="547" t="s">
        <v>630</v>
      </c>
      <c r="B16" s="546" t="s">
        <v>637</v>
      </c>
      <c r="C16" s="546" t="s">
        <v>638</v>
      </c>
      <c r="D16" s="248">
        <f>29031.6+3300-185.96+170.00057+230-1.26825+0.01+1.25+921</f>
        <v>33466.632319999997</v>
      </c>
      <c r="E16" s="248">
        <f>F16-D16</f>
        <v>0</v>
      </c>
      <c r="F16" s="248">
        <f>29031.6+3300-185.96+170.00057+230-1.26825+0.01+1.25+921</f>
        <v>33466.632319999997</v>
      </c>
      <c r="J16" s="549"/>
      <c r="K16" s="549"/>
    </row>
    <row r="17" spans="1:12" s="548" customFormat="1" ht="90.75" customHeight="1">
      <c r="A17" s="547" t="s">
        <v>630</v>
      </c>
      <c r="B17" s="546" t="s">
        <v>639</v>
      </c>
      <c r="C17" s="546" t="s">
        <v>640</v>
      </c>
      <c r="D17" s="248">
        <v>25</v>
      </c>
      <c r="E17" s="248">
        <f>F17-D17</f>
        <v>0</v>
      </c>
      <c r="F17" s="248">
        <v>25</v>
      </c>
      <c r="J17" s="549"/>
      <c r="K17" s="549"/>
    </row>
    <row r="18" spans="1:12" s="548" customFormat="1" ht="45" customHeight="1">
      <c r="A18" s="547" t="s">
        <v>630</v>
      </c>
      <c r="B18" s="546" t="s">
        <v>641</v>
      </c>
      <c r="C18" s="546" t="s">
        <v>642</v>
      </c>
      <c r="D18" s="248">
        <v>30</v>
      </c>
      <c r="E18" s="248">
        <f>F18-D18</f>
        <v>0</v>
      </c>
      <c r="F18" s="248">
        <v>30</v>
      </c>
      <c r="J18" s="549"/>
      <c r="K18" s="549"/>
    </row>
    <row r="19" spans="1:12" s="548" customFormat="1" ht="92.25" customHeight="1">
      <c r="A19" s="547" t="s">
        <v>630</v>
      </c>
      <c r="B19" s="546" t="s">
        <v>643</v>
      </c>
      <c r="C19" s="546" t="s">
        <v>644</v>
      </c>
      <c r="D19" s="248">
        <v>2.4</v>
      </c>
      <c r="E19" s="248">
        <f>F19-D19</f>
        <v>0</v>
      </c>
      <c r="F19" s="248">
        <v>2.4</v>
      </c>
      <c r="J19" s="549"/>
      <c r="K19" s="549"/>
    </row>
    <row r="20" spans="1:12" s="548" customFormat="1" ht="45" hidden="1" customHeight="1">
      <c r="A20" s="547"/>
      <c r="B20" s="546" t="s">
        <v>645</v>
      </c>
      <c r="C20" s="546" t="s">
        <v>646</v>
      </c>
      <c r="D20" s="248"/>
      <c r="E20" s="248">
        <f>F20-D20</f>
        <v>0</v>
      </c>
      <c r="F20" s="248"/>
      <c r="J20" s="549"/>
      <c r="K20" s="549"/>
    </row>
    <row r="21" spans="1:12" s="548" customFormat="1">
      <c r="A21" s="547" t="s">
        <v>624</v>
      </c>
      <c r="B21" s="546" t="s">
        <v>647</v>
      </c>
      <c r="C21" s="546" t="s">
        <v>648</v>
      </c>
      <c r="D21" s="248">
        <f>D22+D25+D26</f>
        <v>13140</v>
      </c>
      <c r="E21" s="248">
        <f>E22+E25+E26</f>
        <v>0</v>
      </c>
      <c r="F21" s="248">
        <f>F22+F25+F26</f>
        <v>13140</v>
      </c>
      <c r="J21" s="549"/>
      <c r="K21" s="549"/>
    </row>
    <row r="22" spans="1:12" s="548" customFormat="1" ht="34.5" customHeight="1">
      <c r="A22" s="547" t="s">
        <v>630</v>
      </c>
      <c r="B22" s="546" t="s">
        <v>649</v>
      </c>
      <c r="C22" s="546" t="s">
        <v>650</v>
      </c>
      <c r="D22" s="248">
        <f>D23+D24</f>
        <v>5055</v>
      </c>
      <c r="E22" s="248">
        <f>E23+E24</f>
        <v>0</v>
      </c>
      <c r="F22" s="248">
        <f>F23+F24</f>
        <v>5055</v>
      </c>
      <c r="J22" s="549"/>
      <c r="K22" s="549"/>
    </row>
    <row r="23" spans="1:12" s="548" customFormat="1" ht="33.75" customHeight="1">
      <c r="A23" s="547" t="s">
        <v>630</v>
      </c>
      <c r="B23" s="546" t="s">
        <v>651</v>
      </c>
      <c r="C23" s="546" t="s">
        <v>652</v>
      </c>
      <c r="D23" s="248">
        <v>3435</v>
      </c>
      <c r="E23" s="248">
        <f>F23-D23</f>
        <v>0</v>
      </c>
      <c r="F23" s="248">
        <v>3435</v>
      </c>
      <c r="J23" s="549"/>
      <c r="K23" s="549"/>
    </row>
    <row r="24" spans="1:12" s="548" customFormat="1" ht="45" customHeight="1">
      <c r="A24" s="547" t="s">
        <v>630</v>
      </c>
      <c r="B24" s="546" t="s">
        <v>653</v>
      </c>
      <c r="C24" s="546" t="s">
        <v>654</v>
      </c>
      <c r="D24" s="248">
        <f>1620</f>
        <v>1620</v>
      </c>
      <c r="E24" s="248">
        <f>F24-D24</f>
        <v>0</v>
      </c>
      <c r="F24" s="248">
        <f>1620</f>
        <v>1620</v>
      </c>
      <c r="J24" s="549"/>
      <c r="K24" s="549"/>
    </row>
    <row r="25" spans="1:12" s="548" customFormat="1" ht="32.25" customHeight="1">
      <c r="A25" s="547" t="s">
        <v>630</v>
      </c>
      <c r="B25" s="546" t="s">
        <v>655</v>
      </c>
      <c r="C25" s="546" t="s">
        <v>656</v>
      </c>
      <c r="D25" s="248">
        <f>7113+500</f>
        <v>7613</v>
      </c>
      <c r="E25" s="248">
        <f>F25-D25</f>
        <v>0</v>
      </c>
      <c r="F25" s="248">
        <f>7113+500</f>
        <v>7613</v>
      </c>
      <c r="J25" s="549"/>
      <c r="K25" s="549"/>
    </row>
    <row r="26" spans="1:12" s="548" customFormat="1" ht="21.75" customHeight="1">
      <c r="A26" s="547" t="s">
        <v>630</v>
      </c>
      <c r="B26" s="546" t="s">
        <v>657</v>
      </c>
      <c r="C26" s="546" t="s">
        <v>658</v>
      </c>
      <c r="D26" s="248">
        <f>472</f>
        <v>472</v>
      </c>
      <c r="E26" s="248">
        <f>F26-D26</f>
        <v>0</v>
      </c>
      <c r="F26" s="248">
        <f>472</f>
        <v>472</v>
      </c>
      <c r="J26" s="549"/>
      <c r="K26" s="549"/>
    </row>
    <row r="27" spans="1:12" s="548" customFormat="1">
      <c r="A27" s="547" t="s">
        <v>624</v>
      </c>
      <c r="B27" s="546" t="s">
        <v>659</v>
      </c>
      <c r="C27" s="546" t="s">
        <v>660</v>
      </c>
      <c r="D27" s="248">
        <f>D29</f>
        <v>2743</v>
      </c>
      <c r="E27" s="248">
        <f>E29</f>
        <v>600</v>
      </c>
      <c r="F27" s="248">
        <f>F29</f>
        <v>3343</v>
      </c>
      <c r="J27" s="549"/>
      <c r="K27" s="549"/>
    </row>
    <row r="28" spans="1:12" s="548" customFormat="1" ht="30" hidden="1" customHeight="1">
      <c r="A28" s="547"/>
      <c r="B28" s="546" t="s">
        <v>661</v>
      </c>
      <c r="C28" s="546" t="s">
        <v>662</v>
      </c>
      <c r="D28" s="248"/>
      <c r="E28" s="248"/>
      <c r="F28" s="248"/>
      <c r="J28" s="549"/>
      <c r="K28" s="549"/>
    </row>
    <row r="29" spans="1:12" s="550" customFormat="1">
      <c r="A29" s="547" t="s">
        <v>630</v>
      </c>
      <c r="B29" s="546" t="s">
        <v>663</v>
      </c>
      <c r="C29" s="546" t="s">
        <v>664</v>
      </c>
      <c r="D29" s="248">
        <f>SUM(D30:D31)</f>
        <v>2743</v>
      </c>
      <c r="E29" s="248">
        <f>SUM(E30:E31)</f>
        <v>600</v>
      </c>
      <c r="F29" s="248">
        <f>SUM(F30:F31)</f>
        <v>3343</v>
      </c>
      <c r="J29" s="549"/>
      <c r="K29" s="549"/>
    </row>
    <row r="30" spans="1:12" s="548" customFormat="1" ht="34.5" customHeight="1">
      <c r="A30" s="547" t="s">
        <v>630</v>
      </c>
      <c r="B30" s="546" t="s">
        <v>665</v>
      </c>
      <c r="C30" s="546" t="s">
        <v>666</v>
      </c>
      <c r="D30" s="248">
        <f>2242+500</f>
        <v>2742</v>
      </c>
      <c r="E30" s="248">
        <f t="shared" ref="E30:E36" si="0">F30-D30</f>
        <v>600</v>
      </c>
      <c r="F30" s="248">
        <f>2242+500+600</f>
        <v>3342</v>
      </c>
      <c r="J30" s="549"/>
      <c r="K30" s="549"/>
      <c r="L30" s="549"/>
    </row>
    <row r="31" spans="1:12" s="548" customFormat="1" ht="33.75" customHeight="1">
      <c r="A31" s="547" t="s">
        <v>630</v>
      </c>
      <c r="B31" s="546" t="s">
        <v>667</v>
      </c>
      <c r="C31" s="546" t="s">
        <v>668</v>
      </c>
      <c r="D31" s="248">
        <v>1</v>
      </c>
      <c r="E31" s="248">
        <f t="shared" si="0"/>
        <v>0</v>
      </c>
      <c r="F31" s="248">
        <v>1</v>
      </c>
      <c r="J31" s="549"/>
      <c r="K31" s="549"/>
    </row>
    <row r="32" spans="1:12" s="550" customFormat="1" ht="15" hidden="1" customHeight="1">
      <c r="A32" s="547" t="s">
        <v>630</v>
      </c>
      <c r="B32" s="546" t="s">
        <v>669</v>
      </c>
      <c r="C32" s="546" t="s">
        <v>670</v>
      </c>
      <c r="D32" s="248">
        <v>0</v>
      </c>
      <c r="E32" s="248">
        <f t="shared" si="0"/>
        <v>0</v>
      </c>
      <c r="F32" s="248">
        <v>0</v>
      </c>
      <c r="J32" s="549"/>
      <c r="K32" s="549"/>
    </row>
    <row r="33" spans="1:11" s="548" customFormat="1" ht="15" hidden="1" customHeight="1">
      <c r="A33" s="547" t="s">
        <v>630</v>
      </c>
      <c r="B33" s="546" t="s">
        <v>671</v>
      </c>
      <c r="C33" s="546" t="s">
        <v>672</v>
      </c>
      <c r="D33" s="248">
        <v>0</v>
      </c>
      <c r="E33" s="248">
        <f t="shared" si="0"/>
        <v>0</v>
      </c>
      <c r="F33" s="248">
        <v>0</v>
      </c>
      <c r="J33" s="549"/>
      <c r="K33" s="549"/>
    </row>
    <row r="34" spans="1:11" s="548" customFormat="1" ht="15" hidden="1" customHeight="1">
      <c r="A34" s="547" t="s">
        <v>630</v>
      </c>
      <c r="B34" s="546" t="s">
        <v>673</v>
      </c>
      <c r="C34" s="546" t="s">
        <v>674</v>
      </c>
      <c r="D34" s="248">
        <v>0</v>
      </c>
      <c r="E34" s="248">
        <f t="shared" si="0"/>
        <v>0</v>
      </c>
      <c r="F34" s="248">
        <v>0</v>
      </c>
      <c r="J34" s="549"/>
      <c r="K34" s="549"/>
    </row>
    <row r="35" spans="1:11" s="548" customFormat="1" ht="30" hidden="1" customHeight="1">
      <c r="A35" s="547"/>
      <c r="B35" s="546" t="s">
        <v>675</v>
      </c>
      <c r="C35" s="546" t="s">
        <v>676</v>
      </c>
      <c r="D35" s="248"/>
      <c r="E35" s="248">
        <f t="shared" si="0"/>
        <v>0</v>
      </c>
      <c r="F35" s="248"/>
      <c r="J35" s="549"/>
      <c r="K35" s="549"/>
    </row>
    <row r="36" spans="1:11" s="548" customFormat="1" ht="30" hidden="1" customHeight="1">
      <c r="A36" s="547"/>
      <c r="B36" s="546" t="s">
        <v>677</v>
      </c>
      <c r="C36" s="546" t="s">
        <v>678</v>
      </c>
      <c r="D36" s="248"/>
      <c r="E36" s="248">
        <f t="shared" si="0"/>
        <v>0</v>
      </c>
      <c r="F36" s="248"/>
      <c r="J36" s="549"/>
      <c r="K36" s="549"/>
    </row>
    <row r="37" spans="1:11" s="548" customFormat="1" ht="36.75" customHeight="1">
      <c r="A37" s="547" t="s">
        <v>624</v>
      </c>
      <c r="B37" s="546" t="s">
        <v>679</v>
      </c>
      <c r="C37" s="546" t="s">
        <v>680</v>
      </c>
      <c r="D37" s="248">
        <f t="shared" ref="D37:F38" si="1">SUM(D38)</f>
        <v>150</v>
      </c>
      <c r="E37" s="248">
        <f t="shared" si="1"/>
        <v>0</v>
      </c>
      <c r="F37" s="248">
        <f t="shared" si="1"/>
        <v>150</v>
      </c>
      <c r="J37" s="549"/>
      <c r="K37" s="549"/>
    </row>
    <row r="38" spans="1:11" s="548" customFormat="1">
      <c r="A38" s="547" t="s">
        <v>630</v>
      </c>
      <c r="B38" s="546" t="s">
        <v>681</v>
      </c>
      <c r="C38" s="546" t="s">
        <v>682</v>
      </c>
      <c r="D38" s="248">
        <f t="shared" si="1"/>
        <v>150</v>
      </c>
      <c r="E38" s="248">
        <f t="shared" si="1"/>
        <v>0</v>
      </c>
      <c r="F38" s="248">
        <f t="shared" si="1"/>
        <v>150</v>
      </c>
      <c r="J38" s="549"/>
      <c r="K38" s="549"/>
    </row>
    <row r="39" spans="1:11" s="548" customFormat="1" ht="35.25" customHeight="1">
      <c r="A39" s="547" t="s">
        <v>630</v>
      </c>
      <c r="B39" s="546" t="s">
        <v>683</v>
      </c>
      <c r="C39" s="546" t="s">
        <v>684</v>
      </c>
      <c r="D39" s="248">
        <v>150</v>
      </c>
      <c r="E39" s="248">
        <f>F39-D39</f>
        <v>0</v>
      </c>
      <c r="F39" s="248">
        <v>150</v>
      </c>
      <c r="J39" s="549"/>
      <c r="K39" s="549"/>
    </row>
    <row r="40" spans="1:11" s="548" customFormat="1" ht="45" hidden="1" customHeight="1">
      <c r="A40" s="547"/>
      <c r="B40" s="546" t="s">
        <v>685</v>
      </c>
      <c r="C40" s="546" t="s">
        <v>686</v>
      </c>
      <c r="D40" s="248"/>
      <c r="E40" s="248">
        <f>F40-D40</f>
        <v>0</v>
      </c>
      <c r="F40" s="248"/>
      <c r="J40" s="549"/>
      <c r="K40" s="549"/>
    </row>
    <row r="41" spans="1:11" s="548" customFormat="1" ht="30" hidden="1" customHeight="1">
      <c r="A41" s="547"/>
      <c r="B41" s="546" t="s">
        <v>687</v>
      </c>
      <c r="C41" s="546" t="s">
        <v>688</v>
      </c>
      <c r="D41" s="248">
        <v>0</v>
      </c>
      <c r="E41" s="248">
        <f>F41-D41</f>
        <v>0</v>
      </c>
      <c r="F41" s="248">
        <v>0</v>
      </c>
      <c r="J41" s="549"/>
      <c r="K41" s="549"/>
    </row>
    <row r="42" spans="1:11" s="548" customFormat="1" ht="30" hidden="1" customHeight="1">
      <c r="A42" s="547"/>
      <c r="B42" s="546" t="s">
        <v>689</v>
      </c>
      <c r="C42" s="546" t="s">
        <v>690</v>
      </c>
      <c r="D42" s="248"/>
      <c r="E42" s="248">
        <f>F42-D42</f>
        <v>0</v>
      </c>
      <c r="F42" s="248"/>
      <c r="J42" s="549"/>
      <c r="K42" s="549"/>
    </row>
    <row r="43" spans="1:11" s="548" customFormat="1">
      <c r="A43" s="547" t="s">
        <v>624</v>
      </c>
      <c r="B43" s="546" t="s">
        <v>691</v>
      </c>
      <c r="C43" s="546" t="s">
        <v>692</v>
      </c>
      <c r="D43" s="248">
        <f>D44+D47</f>
        <v>4280</v>
      </c>
      <c r="E43" s="248">
        <f>E44+E47</f>
        <v>0</v>
      </c>
      <c r="F43" s="248">
        <f>F44+F47</f>
        <v>4280</v>
      </c>
      <c r="J43" s="549"/>
      <c r="K43" s="549"/>
    </row>
    <row r="44" spans="1:11" s="548" customFormat="1" ht="39" customHeight="1">
      <c r="A44" s="547" t="s">
        <v>624</v>
      </c>
      <c r="B44" s="546" t="s">
        <v>693</v>
      </c>
      <c r="C44" s="546" t="s">
        <v>694</v>
      </c>
      <c r="D44" s="248">
        <f>SUM(D45)</f>
        <v>900</v>
      </c>
      <c r="E44" s="248">
        <f>SUM(E45)</f>
        <v>0</v>
      </c>
      <c r="F44" s="248">
        <f>SUM(F45)</f>
        <v>900</v>
      </c>
      <c r="J44" s="549"/>
      <c r="K44" s="549"/>
    </row>
    <row r="45" spans="1:11" s="548" customFormat="1" ht="54" customHeight="1">
      <c r="A45" s="547" t="s">
        <v>630</v>
      </c>
      <c r="B45" s="546" t="s">
        <v>695</v>
      </c>
      <c r="C45" s="546" t="s">
        <v>696</v>
      </c>
      <c r="D45" s="248">
        <f>500+300+100</f>
        <v>900</v>
      </c>
      <c r="E45" s="248">
        <f>F45-D45</f>
        <v>0</v>
      </c>
      <c r="F45" s="248">
        <f>500+300+100</f>
        <v>900</v>
      </c>
      <c r="J45" s="549"/>
      <c r="K45" s="549"/>
    </row>
    <row r="46" spans="1:11" s="548" customFormat="1" ht="45" hidden="1" customHeight="1">
      <c r="A46" s="547"/>
      <c r="B46" s="546" t="s">
        <v>697</v>
      </c>
      <c r="C46" s="546" t="s">
        <v>698</v>
      </c>
      <c r="D46" s="248">
        <v>0</v>
      </c>
      <c r="E46" s="248">
        <f>F46-D46</f>
        <v>0</v>
      </c>
      <c r="F46" s="248">
        <v>0</v>
      </c>
      <c r="J46" s="549"/>
      <c r="K46" s="549"/>
    </row>
    <row r="47" spans="1:11" s="552" customFormat="1" ht="51" customHeight="1">
      <c r="A47" s="547" t="s">
        <v>624</v>
      </c>
      <c r="B47" s="546" t="s">
        <v>699</v>
      </c>
      <c r="C47" s="546" t="s">
        <v>700</v>
      </c>
      <c r="D47" s="248">
        <f>SUM(D48:D49)+D51</f>
        <v>3380</v>
      </c>
      <c r="E47" s="248">
        <f>SUM(E48:E49)+E51</f>
        <v>0</v>
      </c>
      <c r="F47" s="248">
        <f>SUM(F48:F49)+F51</f>
        <v>3380</v>
      </c>
      <c r="J47" s="549"/>
      <c r="K47" s="549"/>
    </row>
    <row r="48" spans="1:11" s="552" customFormat="1" ht="84" customHeight="1">
      <c r="A48" s="551" t="s">
        <v>270</v>
      </c>
      <c r="B48" s="546" t="s">
        <v>701</v>
      </c>
      <c r="C48" s="546" t="s">
        <v>702</v>
      </c>
      <c r="D48" s="248">
        <v>1480</v>
      </c>
      <c r="E48" s="248">
        <f t="shared" ref="E48:E59" si="2">F48-D48</f>
        <v>0</v>
      </c>
      <c r="F48" s="248">
        <v>1480</v>
      </c>
      <c r="J48" s="549"/>
      <c r="K48" s="549"/>
    </row>
    <row r="49" spans="1:11" s="548" customFormat="1" ht="105.75" customHeight="1">
      <c r="A49" s="547" t="s">
        <v>624</v>
      </c>
      <c r="B49" s="546" t="s">
        <v>703</v>
      </c>
      <c r="C49" s="546" t="s">
        <v>704</v>
      </c>
      <c r="D49" s="248">
        <f>1000+800+100</f>
        <v>1900</v>
      </c>
      <c r="E49" s="248">
        <f t="shared" si="2"/>
        <v>0</v>
      </c>
      <c r="F49" s="248">
        <f>1000+800+100</f>
        <v>1900</v>
      </c>
      <c r="J49" s="549"/>
      <c r="K49" s="549"/>
    </row>
    <row r="50" spans="1:11" s="548" customFormat="1" ht="99" hidden="1" customHeight="1">
      <c r="A50" s="551" t="s">
        <v>421</v>
      </c>
      <c r="B50" s="546" t="s">
        <v>705</v>
      </c>
      <c r="C50" s="546" t="s">
        <v>704</v>
      </c>
      <c r="D50" s="248">
        <v>0</v>
      </c>
      <c r="E50" s="248">
        <f t="shared" si="2"/>
        <v>0</v>
      </c>
      <c r="F50" s="248">
        <v>0</v>
      </c>
      <c r="J50" s="549"/>
      <c r="K50" s="549"/>
    </row>
    <row r="51" spans="1:11" s="548" customFormat="1" ht="33.75" hidden="1" customHeight="1">
      <c r="A51" s="551" t="s">
        <v>270</v>
      </c>
      <c r="B51" s="546" t="s">
        <v>1068</v>
      </c>
      <c r="C51" s="546" t="s">
        <v>1069</v>
      </c>
      <c r="D51" s="248">
        <v>0</v>
      </c>
      <c r="E51" s="248">
        <f t="shared" si="2"/>
        <v>0</v>
      </c>
      <c r="F51" s="248">
        <v>0</v>
      </c>
      <c r="J51" s="549"/>
      <c r="K51" s="549"/>
    </row>
    <row r="52" spans="1:11" s="548" customFormat="1" ht="45" hidden="1" customHeight="1">
      <c r="A52" s="547"/>
      <c r="B52" s="546" t="s">
        <v>706</v>
      </c>
      <c r="C52" s="546" t="s">
        <v>707</v>
      </c>
      <c r="D52" s="248"/>
      <c r="E52" s="248">
        <f t="shared" si="2"/>
        <v>0</v>
      </c>
      <c r="F52" s="248"/>
      <c r="J52" s="549"/>
      <c r="K52" s="549"/>
    </row>
    <row r="53" spans="1:11" s="548" customFormat="1" ht="30" hidden="1" customHeight="1">
      <c r="A53" s="547"/>
      <c r="B53" s="546" t="s">
        <v>708</v>
      </c>
      <c r="C53" s="546" t="s">
        <v>709</v>
      </c>
      <c r="D53" s="248">
        <v>0</v>
      </c>
      <c r="E53" s="248">
        <f t="shared" si="2"/>
        <v>0</v>
      </c>
      <c r="F53" s="248">
        <v>0</v>
      </c>
      <c r="J53" s="549"/>
      <c r="K53" s="549"/>
    </row>
    <row r="54" spans="1:11" s="548" customFormat="1" ht="30" hidden="1" customHeight="1">
      <c r="A54" s="547"/>
      <c r="B54" s="546" t="s">
        <v>710</v>
      </c>
      <c r="C54" s="546" t="s">
        <v>711</v>
      </c>
      <c r="D54" s="248"/>
      <c r="E54" s="248">
        <f t="shared" si="2"/>
        <v>0</v>
      </c>
      <c r="F54" s="248"/>
      <c r="J54" s="549"/>
      <c r="K54" s="549"/>
    </row>
    <row r="55" spans="1:11" s="548" customFormat="1" ht="30" hidden="1" customHeight="1">
      <c r="A55" s="547"/>
      <c r="B55" s="546" t="s">
        <v>712</v>
      </c>
      <c r="C55" s="546" t="s">
        <v>713</v>
      </c>
      <c r="D55" s="248">
        <v>0</v>
      </c>
      <c r="E55" s="248">
        <f t="shared" si="2"/>
        <v>0</v>
      </c>
      <c r="F55" s="248">
        <v>0</v>
      </c>
      <c r="J55" s="549"/>
      <c r="K55" s="549"/>
    </row>
    <row r="56" spans="1:11" s="548" customFormat="1" ht="30" hidden="1" customHeight="1">
      <c r="A56" s="547"/>
      <c r="B56" s="546" t="s">
        <v>714</v>
      </c>
      <c r="C56" s="546" t="s">
        <v>715</v>
      </c>
      <c r="D56" s="248"/>
      <c r="E56" s="248">
        <f t="shared" si="2"/>
        <v>0</v>
      </c>
      <c r="F56" s="248"/>
      <c r="J56" s="549"/>
      <c r="K56" s="549"/>
    </row>
    <row r="57" spans="1:11" s="548" customFormat="1" ht="30" hidden="1" customHeight="1">
      <c r="A57" s="547"/>
      <c r="B57" s="546" t="s">
        <v>716</v>
      </c>
      <c r="C57" s="546" t="s">
        <v>717</v>
      </c>
      <c r="D57" s="248">
        <v>0</v>
      </c>
      <c r="E57" s="248">
        <f t="shared" si="2"/>
        <v>0</v>
      </c>
      <c r="F57" s="248">
        <v>0</v>
      </c>
      <c r="J57" s="549"/>
      <c r="K57" s="549"/>
    </row>
    <row r="58" spans="1:11" s="548" customFormat="1" ht="45" hidden="1" customHeight="1">
      <c r="A58" s="547"/>
      <c r="B58" s="546" t="s">
        <v>718</v>
      </c>
      <c r="C58" s="546" t="s">
        <v>719</v>
      </c>
      <c r="D58" s="248"/>
      <c r="E58" s="248">
        <f t="shared" si="2"/>
        <v>0</v>
      </c>
      <c r="F58" s="248"/>
      <c r="J58" s="549"/>
      <c r="K58" s="549"/>
    </row>
    <row r="59" spans="1:11" s="548" customFormat="1" ht="30" hidden="1" customHeight="1">
      <c r="A59" s="547"/>
      <c r="B59" s="546" t="s">
        <v>720</v>
      </c>
      <c r="C59" s="546" t="s">
        <v>721</v>
      </c>
      <c r="D59" s="248"/>
      <c r="E59" s="248">
        <f t="shared" si="2"/>
        <v>0</v>
      </c>
      <c r="F59" s="248"/>
      <c r="J59" s="549"/>
      <c r="K59" s="549"/>
    </row>
    <row r="60" spans="1:11" s="548" customFormat="1" ht="15" customHeight="1">
      <c r="A60" s="547"/>
      <c r="B60" s="546"/>
      <c r="C60" s="546" t="s">
        <v>722</v>
      </c>
      <c r="D60" s="248">
        <f>D61+D79+D83+D90+D108+D113+D133</f>
        <v>16393.90626</v>
      </c>
      <c r="E60" s="248">
        <f>E61+E79+E83+E90+E108+E113+E133</f>
        <v>994.1871200000005</v>
      </c>
      <c r="F60" s="248">
        <f>F61+F79+F83+F90+F108+F113+F133</f>
        <v>17388.093380000002</v>
      </c>
      <c r="J60" s="549"/>
      <c r="K60" s="549"/>
    </row>
    <row r="61" spans="1:11" s="548" customFormat="1" ht="52.5" customHeight="1">
      <c r="A61" s="547" t="s">
        <v>624</v>
      </c>
      <c r="B61" s="546" t="s">
        <v>723</v>
      </c>
      <c r="C61" s="546" t="s">
        <v>724</v>
      </c>
      <c r="D61" s="248">
        <f>D62+D64</f>
        <v>1341.7682600000001</v>
      </c>
      <c r="E61" s="248">
        <f>E62+E64</f>
        <v>0</v>
      </c>
      <c r="F61" s="248">
        <f>F62+F64</f>
        <v>1341.7682600000001</v>
      </c>
      <c r="J61" s="549"/>
      <c r="K61" s="549"/>
    </row>
    <row r="62" spans="1:11" s="548" customFormat="1" ht="30">
      <c r="A62" s="547" t="s">
        <v>624</v>
      </c>
      <c r="B62" s="546" t="s">
        <v>725</v>
      </c>
      <c r="C62" s="546" t="s">
        <v>726</v>
      </c>
      <c r="D62" s="248">
        <v>48.953449999999997</v>
      </c>
      <c r="E62" s="248">
        <f>F62-D62</f>
        <v>0</v>
      </c>
      <c r="F62" s="248">
        <v>48.953449999999997</v>
      </c>
      <c r="J62" s="549"/>
      <c r="K62" s="549"/>
    </row>
    <row r="63" spans="1:11" s="548" customFormat="1" ht="54" customHeight="1">
      <c r="A63" s="547" t="s">
        <v>270</v>
      </c>
      <c r="B63" s="546" t="s">
        <v>727</v>
      </c>
      <c r="C63" s="546" t="s">
        <v>728</v>
      </c>
      <c r="D63" s="248">
        <v>48.953449999999997</v>
      </c>
      <c r="E63" s="248">
        <f>F63-D63</f>
        <v>0</v>
      </c>
      <c r="F63" s="248">
        <v>48.953449999999997</v>
      </c>
      <c r="J63" s="549"/>
      <c r="K63" s="549"/>
    </row>
    <row r="64" spans="1:11" s="548" customFormat="1" ht="101.25" customHeight="1">
      <c r="A64" s="547" t="s">
        <v>624</v>
      </c>
      <c r="B64" s="546" t="s">
        <v>729</v>
      </c>
      <c r="C64" s="546" t="s">
        <v>730</v>
      </c>
      <c r="D64" s="248">
        <f>D65+D68</f>
        <v>1292.8148100000001</v>
      </c>
      <c r="E64" s="248">
        <f>E65+E68</f>
        <v>0</v>
      </c>
      <c r="F64" s="248">
        <f>F65+F68</f>
        <v>1292.8148100000001</v>
      </c>
      <c r="J64" s="549"/>
      <c r="K64" s="549"/>
    </row>
    <row r="65" spans="1:11" s="548" customFormat="1" ht="75.75" customHeight="1">
      <c r="A65" s="547" t="s">
        <v>624</v>
      </c>
      <c r="B65" s="546" t="s">
        <v>731</v>
      </c>
      <c r="C65" s="546" t="s">
        <v>732</v>
      </c>
      <c r="D65" s="248">
        <f>SUM(D67)</f>
        <v>849.71481000000006</v>
      </c>
      <c r="E65" s="248">
        <f>SUM(E67)</f>
        <v>0</v>
      </c>
      <c r="F65" s="248">
        <f>SUM(F67)</f>
        <v>849.71481000000006</v>
      </c>
      <c r="J65" s="549"/>
      <c r="K65" s="549"/>
    </row>
    <row r="66" spans="1:11" s="548" customFormat="1" ht="94.5" hidden="1" customHeight="1">
      <c r="A66" s="547"/>
      <c r="B66" s="546" t="s">
        <v>733</v>
      </c>
      <c r="C66" s="546" t="s">
        <v>734</v>
      </c>
      <c r="D66" s="248">
        <v>0</v>
      </c>
      <c r="E66" s="248">
        <f>F66-D66</f>
        <v>0</v>
      </c>
      <c r="F66" s="248">
        <v>0</v>
      </c>
      <c r="J66" s="549"/>
      <c r="K66" s="549"/>
    </row>
    <row r="67" spans="1:11" s="548" customFormat="1" ht="80.25" customHeight="1">
      <c r="A67" s="547" t="s">
        <v>270</v>
      </c>
      <c r="B67" s="546" t="s">
        <v>735</v>
      </c>
      <c r="C67" s="546" t="s">
        <v>736</v>
      </c>
      <c r="D67" s="248">
        <v>849.71481000000006</v>
      </c>
      <c r="E67" s="248"/>
      <c r="F67" s="248">
        <v>849.71481000000006</v>
      </c>
      <c r="J67" s="549"/>
      <c r="K67" s="549"/>
    </row>
    <row r="68" spans="1:11" s="548" customFormat="1" ht="104.25" customHeight="1">
      <c r="A68" s="547" t="s">
        <v>624</v>
      </c>
      <c r="B68" s="546" t="s">
        <v>737</v>
      </c>
      <c r="C68" s="546" t="s">
        <v>738</v>
      </c>
      <c r="D68" s="248">
        <f>SUM(D69)</f>
        <v>443.1</v>
      </c>
      <c r="E68" s="248">
        <f>SUM(E69)</f>
        <v>0</v>
      </c>
      <c r="F68" s="248">
        <f>SUM(F69)</f>
        <v>443.1</v>
      </c>
      <c r="J68" s="549"/>
      <c r="K68" s="549"/>
    </row>
    <row r="69" spans="1:11" s="548" customFormat="1" ht="83.25" customHeight="1">
      <c r="A69" s="547" t="s">
        <v>270</v>
      </c>
      <c r="B69" s="546" t="s">
        <v>739</v>
      </c>
      <c r="C69" s="546" t="s">
        <v>740</v>
      </c>
      <c r="D69" s="248">
        <v>443.1</v>
      </c>
      <c r="E69" s="248">
        <f t="shared" ref="E69:E78" si="3">F69-D69</f>
        <v>0</v>
      </c>
      <c r="F69" s="248">
        <v>443.1</v>
      </c>
      <c r="J69" s="549"/>
      <c r="K69" s="549"/>
    </row>
    <row r="70" spans="1:11" s="548" customFormat="1" ht="45" hidden="1" customHeight="1">
      <c r="A70" s="547"/>
      <c r="B70" s="546" t="s">
        <v>741</v>
      </c>
      <c r="C70" s="546" t="s">
        <v>742</v>
      </c>
      <c r="D70" s="248">
        <v>0</v>
      </c>
      <c r="E70" s="248">
        <f t="shared" si="3"/>
        <v>0</v>
      </c>
      <c r="F70" s="248">
        <v>0</v>
      </c>
      <c r="J70" s="549"/>
      <c r="K70" s="549"/>
    </row>
    <row r="71" spans="1:11" s="548" customFormat="1" ht="60" hidden="1" customHeight="1">
      <c r="A71" s="547"/>
      <c r="B71" s="546" t="s">
        <v>743</v>
      </c>
      <c r="C71" s="546" t="s">
        <v>744</v>
      </c>
      <c r="D71" s="248">
        <v>0</v>
      </c>
      <c r="E71" s="248">
        <f t="shared" si="3"/>
        <v>0</v>
      </c>
      <c r="F71" s="248">
        <v>0</v>
      </c>
      <c r="J71" s="549"/>
      <c r="K71" s="549"/>
    </row>
    <row r="72" spans="1:11" s="548" customFormat="1" ht="60" hidden="1" customHeight="1">
      <c r="A72" s="547"/>
      <c r="B72" s="546" t="s">
        <v>745</v>
      </c>
      <c r="C72" s="546" t="s">
        <v>746</v>
      </c>
      <c r="D72" s="248"/>
      <c r="E72" s="248">
        <f t="shared" si="3"/>
        <v>0</v>
      </c>
      <c r="F72" s="248"/>
      <c r="J72" s="549"/>
      <c r="K72" s="549"/>
    </row>
    <row r="73" spans="1:11" s="548" customFormat="1" ht="45" hidden="1" customHeight="1">
      <c r="A73" s="547"/>
      <c r="B73" s="546" t="s">
        <v>747</v>
      </c>
      <c r="C73" s="546" t="s">
        <v>748</v>
      </c>
      <c r="D73" s="248">
        <v>0</v>
      </c>
      <c r="E73" s="248">
        <f t="shared" si="3"/>
        <v>0</v>
      </c>
      <c r="F73" s="248">
        <v>0</v>
      </c>
      <c r="J73" s="549"/>
      <c r="K73" s="549"/>
    </row>
    <row r="74" spans="1:11" s="548" customFormat="1" ht="45" hidden="1" customHeight="1">
      <c r="A74" s="547"/>
      <c r="B74" s="546" t="s">
        <v>749</v>
      </c>
      <c r="C74" s="546" t="s">
        <v>750</v>
      </c>
      <c r="D74" s="248"/>
      <c r="E74" s="248">
        <f t="shared" si="3"/>
        <v>0</v>
      </c>
      <c r="F74" s="248"/>
      <c r="J74" s="549"/>
      <c r="K74" s="549"/>
    </row>
    <row r="75" spans="1:11" s="548" customFormat="1" ht="45" hidden="1" customHeight="1">
      <c r="A75" s="547"/>
      <c r="B75" s="546" t="s">
        <v>751</v>
      </c>
      <c r="C75" s="546" t="s">
        <v>752</v>
      </c>
      <c r="D75" s="248">
        <v>0</v>
      </c>
      <c r="E75" s="248">
        <f t="shared" si="3"/>
        <v>0</v>
      </c>
      <c r="F75" s="248">
        <v>0</v>
      </c>
      <c r="J75" s="549"/>
      <c r="K75" s="549"/>
    </row>
    <row r="76" spans="1:11" s="548" customFormat="1" ht="45" hidden="1" customHeight="1">
      <c r="A76" s="547"/>
      <c r="B76" s="546" t="s">
        <v>753</v>
      </c>
      <c r="C76" s="546" t="s">
        <v>754</v>
      </c>
      <c r="D76" s="248"/>
      <c r="E76" s="248">
        <f t="shared" si="3"/>
        <v>0</v>
      </c>
      <c r="F76" s="248"/>
      <c r="J76" s="549"/>
      <c r="K76" s="549"/>
    </row>
    <row r="77" spans="1:11" s="548" customFormat="1" ht="45" hidden="1" customHeight="1">
      <c r="A77" s="547"/>
      <c r="B77" s="546" t="s">
        <v>755</v>
      </c>
      <c r="C77" s="546" t="s">
        <v>756</v>
      </c>
      <c r="D77" s="248">
        <v>0</v>
      </c>
      <c r="E77" s="248">
        <f t="shared" si="3"/>
        <v>0</v>
      </c>
      <c r="F77" s="248">
        <v>0</v>
      </c>
      <c r="J77" s="549"/>
      <c r="K77" s="549"/>
    </row>
    <row r="78" spans="1:11" s="548" customFormat="1" ht="30" hidden="1" customHeight="1">
      <c r="A78" s="547"/>
      <c r="B78" s="546" t="s">
        <v>757</v>
      </c>
      <c r="C78" s="546" t="s">
        <v>758</v>
      </c>
      <c r="D78" s="248"/>
      <c r="E78" s="248">
        <f t="shared" si="3"/>
        <v>0</v>
      </c>
      <c r="F78" s="248"/>
      <c r="J78" s="549"/>
      <c r="K78" s="549"/>
    </row>
    <row r="79" spans="1:11" s="548" customFormat="1" ht="36.75" customHeight="1">
      <c r="A79" s="547" t="s">
        <v>624</v>
      </c>
      <c r="B79" s="546" t="s">
        <v>759</v>
      </c>
      <c r="C79" s="546" t="s">
        <v>760</v>
      </c>
      <c r="D79" s="248">
        <f>SUM(D80)</f>
        <v>100</v>
      </c>
      <c r="E79" s="248">
        <f>SUM(E80)</f>
        <v>0</v>
      </c>
      <c r="F79" s="248">
        <f>SUM(F80)</f>
        <v>100</v>
      </c>
      <c r="J79" s="549"/>
      <c r="K79" s="549"/>
    </row>
    <row r="80" spans="1:11" s="548" customFormat="1" ht="29.25" customHeight="1">
      <c r="A80" s="547" t="s">
        <v>761</v>
      </c>
      <c r="B80" s="546" t="s">
        <v>762</v>
      </c>
      <c r="C80" s="546" t="s">
        <v>763</v>
      </c>
      <c r="D80" s="248">
        <v>100</v>
      </c>
      <c r="E80" s="248">
        <f>F80-D80</f>
        <v>0</v>
      </c>
      <c r="F80" s="248">
        <v>100</v>
      </c>
      <c r="J80" s="549"/>
      <c r="K80" s="549"/>
    </row>
    <row r="81" spans="1:11" s="548" customFormat="1" ht="15" hidden="1" customHeight="1">
      <c r="A81" s="547"/>
      <c r="B81" s="546" t="s">
        <v>764</v>
      </c>
      <c r="C81" s="546" t="s">
        <v>765</v>
      </c>
      <c r="D81" s="248">
        <v>0</v>
      </c>
      <c r="E81" s="248">
        <f>F81-D81</f>
        <v>0</v>
      </c>
      <c r="F81" s="248">
        <v>0</v>
      </c>
      <c r="J81" s="549"/>
      <c r="K81" s="549"/>
    </row>
    <row r="82" spans="1:11" s="548" customFormat="1" ht="30" hidden="1" customHeight="1">
      <c r="A82" s="547"/>
      <c r="B82" s="546" t="s">
        <v>766</v>
      </c>
      <c r="C82" s="546" t="s">
        <v>767</v>
      </c>
      <c r="D82" s="248"/>
      <c r="E82" s="248">
        <f>F82-D82</f>
        <v>0</v>
      </c>
      <c r="F82" s="248"/>
      <c r="J82" s="549"/>
      <c r="K82" s="549"/>
    </row>
    <row r="83" spans="1:11" s="548" customFormat="1" ht="43.5" customHeight="1">
      <c r="A83" s="547" t="s">
        <v>624</v>
      </c>
      <c r="B83" s="546" t="s">
        <v>768</v>
      </c>
      <c r="C83" s="546" t="s">
        <v>769</v>
      </c>
      <c r="D83" s="248">
        <f>SUM(D88+D85)</f>
        <v>10226.59</v>
      </c>
      <c r="E83" s="248">
        <f>SUM(E88+E85)</f>
        <v>694.1871200000005</v>
      </c>
      <c r="F83" s="248">
        <f>SUM(F88+F85)</f>
        <v>10920.777120000001</v>
      </c>
      <c r="J83" s="549"/>
      <c r="K83" s="549"/>
    </row>
    <row r="84" spans="1:11" s="548" customFormat="1" ht="30" hidden="1" customHeight="1">
      <c r="A84" s="547"/>
      <c r="B84" s="546" t="s">
        <v>770</v>
      </c>
      <c r="C84" s="546" t="s">
        <v>771</v>
      </c>
      <c r="D84" s="248"/>
      <c r="E84" s="248"/>
      <c r="F84" s="248"/>
      <c r="J84" s="549"/>
      <c r="K84" s="549"/>
    </row>
    <row r="85" spans="1:11" s="548" customFormat="1" ht="15" hidden="1" customHeight="1">
      <c r="A85" s="547"/>
      <c r="B85" s="546" t="s">
        <v>772</v>
      </c>
      <c r="C85" s="546" t="s">
        <v>773</v>
      </c>
      <c r="D85" s="248">
        <v>0</v>
      </c>
      <c r="E85" s="248">
        <v>0</v>
      </c>
      <c r="F85" s="248">
        <v>0</v>
      </c>
      <c r="J85" s="549"/>
      <c r="K85" s="549"/>
    </row>
    <row r="86" spans="1:11" s="548" customFormat="1" ht="30" hidden="1" customHeight="1">
      <c r="A86" s="547" t="s">
        <v>624</v>
      </c>
      <c r="B86" s="546" t="s">
        <v>774</v>
      </c>
      <c r="C86" s="546" t="s">
        <v>775</v>
      </c>
      <c r="D86" s="248">
        <v>0</v>
      </c>
      <c r="E86" s="248">
        <v>0</v>
      </c>
      <c r="F86" s="248">
        <v>0</v>
      </c>
      <c r="J86" s="549"/>
      <c r="K86" s="549"/>
    </row>
    <row r="87" spans="1:11" s="548" customFormat="1" ht="52.5" hidden="1" customHeight="1">
      <c r="A87" s="547" t="s">
        <v>270</v>
      </c>
      <c r="B87" s="546" t="s">
        <v>776</v>
      </c>
      <c r="C87" s="546" t="s">
        <v>777</v>
      </c>
      <c r="D87" s="248">
        <v>0</v>
      </c>
      <c r="E87" s="248">
        <v>0</v>
      </c>
      <c r="F87" s="248">
        <v>0</v>
      </c>
      <c r="J87" s="549"/>
      <c r="K87" s="549"/>
    </row>
    <row r="88" spans="1:11" s="548" customFormat="1" ht="30">
      <c r="A88" s="547" t="s">
        <v>624</v>
      </c>
      <c r="B88" s="546" t="s">
        <v>778</v>
      </c>
      <c r="C88" s="546" t="s">
        <v>779</v>
      </c>
      <c r="D88" s="248">
        <f>SUM(D89)</f>
        <v>10226.59</v>
      </c>
      <c r="E88" s="248">
        <f>SUM(E89)</f>
        <v>694.1871200000005</v>
      </c>
      <c r="F88" s="248">
        <f>SUM(F89)</f>
        <v>10920.777120000001</v>
      </c>
      <c r="J88" s="549"/>
      <c r="K88" s="549"/>
    </row>
    <row r="89" spans="1:11" s="548" customFormat="1" ht="59.25" customHeight="1">
      <c r="A89" s="547" t="s">
        <v>270</v>
      </c>
      <c r="B89" s="546" t="s">
        <v>780</v>
      </c>
      <c r="C89" s="546" t="s">
        <v>781</v>
      </c>
      <c r="D89" s="462">
        <f>10226.59</f>
        <v>10226.59</v>
      </c>
      <c r="E89" s="248">
        <f>F89-D89</f>
        <v>694.1871200000005</v>
      </c>
      <c r="F89" s="462">
        <f>10226.59+694.17712+0.01</f>
        <v>10920.777120000001</v>
      </c>
      <c r="J89" s="549"/>
      <c r="K89" s="549"/>
    </row>
    <row r="90" spans="1:11" s="548" customFormat="1" ht="41.25" customHeight="1">
      <c r="A90" s="547" t="s">
        <v>624</v>
      </c>
      <c r="B90" s="546" t="s">
        <v>782</v>
      </c>
      <c r="C90" s="546" t="s">
        <v>783</v>
      </c>
      <c r="D90" s="248">
        <f>D93+D104</f>
        <v>1500</v>
      </c>
      <c r="E90" s="248">
        <f>E93+E104</f>
        <v>300</v>
      </c>
      <c r="F90" s="248">
        <f>F93+F104</f>
        <v>1800</v>
      </c>
      <c r="J90" s="549"/>
      <c r="K90" s="549"/>
    </row>
    <row r="91" spans="1:11" s="548" customFormat="1" ht="15" hidden="1" customHeight="1">
      <c r="A91" s="547" t="s">
        <v>624</v>
      </c>
      <c r="B91" s="546" t="s">
        <v>784</v>
      </c>
      <c r="C91" s="546" t="s">
        <v>785</v>
      </c>
      <c r="D91" s="248">
        <v>0</v>
      </c>
      <c r="E91" s="248">
        <f>F91-D91</f>
        <v>0</v>
      </c>
      <c r="F91" s="248">
        <v>0</v>
      </c>
      <c r="J91" s="549"/>
      <c r="K91" s="549"/>
    </row>
    <row r="92" spans="1:11" s="548" customFormat="1" ht="15" hidden="1" customHeight="1">
      <c r="A92" s="547" t="s">
        <v>624</v>
      </c>
      <c r="B92" s="546" t="s">
        <v>786</v>
      </c>
      <c r="C92" s="546" t="s">
        <v>787</v>
      </c>
      <c r="D92" s="248"/>
      <c r="E92" s="248">
        <f>F92-D92</f>
        <v>0</v>
      </c>
      <c r="F92" s="248"/>
      <c r="J92" s="549"/>
      <c r="K92" s="549"/>
    </row>
    <row r="93" spans="1:11" s="548" customFormat="1" ht="80.25" customHeight="1">
      <c r="A93" s="547" t="s">
        <v>624</v>
      </c>
      <c r="B93" s="546" t="s">
        <v>788</v>
      </c>
      <c r="C93" s="546" t="s">
        <v>789</v>
      </c>
      <c r="D93" s="248">
        <f>SUM(D94)</f>
        <v>500</v>
      </c>
      <c r="E93" s="248">
        <f>SUM(E94)</f>
        <v>300</v>
      </c>
      <c r="F93" s="248">
        <f>SUM(F94)</f>
        <v>800</v>
      </c>
      <c r="J93" s="549"/>
      <c r="K93" s="549"/>
    </row>
    <row r="94" spans="1:11" s="548" customFormat="1" ht="95.25" customHeight="1">
      <c r="A94" s="547" t="s">
        <v>624</v>
      </c>
      <c r="B94" s="546" t="s">
        <v>1074</v>
      </c>
      <c r="C94" s="546" t="s">
        <v>790</v>
      </c>
      <c r="D94" s="248">
        <f>500</f>
        <v>500</v>
      </c>
      <c r="E94" s="248">
        <f t="shared" ref="E94:E103" si="4">F94-D94</f>
        <v>300</v>
      </c>
      <c r="F94" s="248">
        <f>500+300</f>
        <v>800</v>
      </c>
      <c r="J94" s="549"/>
      <c r="K94" s="549"/>
    </row>
    <row r="95" spans="1:11" s="548" customFormat="1" ht="60" hidden="1" customHeight="1">
      <c r="A95" s="547" t="s">
        <v>624</v>
      </c>
      <c r="B95" s="546" t="s">
        <v>791</v>
      </c>
      <c r="C95" s="546" t="s">
        <v>792</v>
      </c>
      <c r="D95" s="248">
        <v>0</v>
      </c>
      <c r="E95" s="248">
        <f t="shared" si="4"/>
        <v>0</v>
      </c>
      <c r="F95" s="248">
        <v>0</v>
      </c>
      <c r="J95" s="549"/>
      <c r="K95" s="549"/>
    </row>
    <row r="96" spans="1:11" s="548" customFormat="1" ht="45" hidden="1" customHeight="1">
      <c r="A96" s="547" t="s">
        <v>624</v>
      </c>
      <c r="B96" s="546" t="s">
        <v>793</v>
      </c>
      <c r="C96" s="546" t="s">
        <v>794</v>
      </c>
      <c r="D96" s="248"/>
      <c r="E96" s="248">
        <f t="shared" si="4"/>
        <v>0</v>
      </c>
      <c r="F96" s="248"/>
      <c r="J96" s="549"/>
      <c r="K96" s="549"/>
    </row>
    <row r="97" spans="1:11" s="548" customFormat="1" ht="45" hidden="1" customHeight="1">
      <c r="A97" s="547" t="s">
        <v>624</v>
      </c>
      <c r="B97" s="546" t="s">
        <v>795</v>
      </c>
      <c r="C97" s="546" t="s">
        <v>796</v>
      </c>
      <c r="D97" s="248"/>
      <c r="E97" s="248">
        <f t="shared" si="4"/>
        <v>0</v>
      </c>
      <c r="F97" s="248"/>
      <c r="J97" s="549"/>
      <c r="K97" s="549"/>
    </row>
    <row r="98" spans="1:11" s="548" customFormat="1" ht="75" hidden="1" customHeight="1">
      <c r="A98" s="547" t="s">
        <v>624</v>
      </c>
      <c r="B98" s="546" t="s">
        <v>797</v>
      </c>
      <c r="C98" s="546" t="s">
        <v>798</v>
      </c>
      <c r="D98" s="248"/>
      <c r="E98" s="248">
        <f t="shared" si="4"/>
        <v>0</v>
      </c>
      <c r="F98" s="248"/>
      <c r="J98" s="549"/>
      <c r="K98" s="549"/>
    </row>
    <row r="99" spans="1:11" s="548" customFormat="1" ht="75" hidden="1" customHeight="1">
      <c r="A99" s="547" t="s">
        <v>624</v>
      </c>
      <c r="B99" s="546" t="s">
        <v>799</v>
      </c>
      <c r="C99" s="546" t="s">
        <v>800</v>
      </c>
      <c r="D99" s="248"/>
      <c r="E99" s="248">
        <f t="shared" si="4"/>
        <v>0</v>
      </c>
      <c r="F99" s="248"/>
      <c r="J99" s="549"/>
      <c r="K99" s="549"/>
    </row>
    <row r="100" spans="1:11" s="548" customFormat="1" ht="45" hidden="1" customHeight="1">
      <c r="A100" s="551" t="s">
        <v>624</v>
      </c>
      <c r="B100" s="546" t="s">
        <v>801</v>
      </c>
      <c r="C100" s="546" t="s">
        <v>802</v>
      </c>
      <c r="D100" s="248"/>
      <c r="E100" s="248">
        <f t="shared" si="4"/>
        <v>0</v>
      </c>
      <c r="F100" s="248"/>
      <c r="J100" s="549"/>
      <c r="K100" s="549"/>
    </row>
    <row r="101" spans="1:11" s="548" customFormat="1" ht="45" hidden="1" customHeight="1">
      <c r="A101" s="551" t="s">
        <v>624</v>
      </c>
      <c r="B101" s="546" t="s">
        <v>803</v>
      </c>
      <c r="C101" s="546" t="s">
        <v>804</v>
      </c>
      <c r="D101" s="248"/>
      <c r="E101" s="248">
        <f t="shared" si="4"/>
        <v>0</v>
      </c>
      <c r="F101" s="248"/>
      <c r="J101" s="549"/>
      <c r="K101" s="549"/>
    </row>
    <row r="102" spans="1:11" s="548" customFormat="1" ht="60" hidden="1" customHeight="1">
      <c r="A102" s="547" t="s">
        <v>624</v>
      </c>
      <c r="B102" s="546" t="s">
        <v>805</v>
      </c>
      <c r="C102" s="546" t="s">
        <v>806</v>
      </c>
      <c r="D102" s="248"/>
      <c r="E102" s="248">
        <f t="shared" si="4"/>
        <v>0</v>
      </c>
      <c r="F102" s="248"/>
      <c r="J102" s="549"/>
      <c r="K102" s="549"/>
    </row>
    <row r="103" spans="1:11" s="548" customFormat="1" ht="60" hidden="1" customHeight="1">
      <c r="A103" s="547" t="s">
        <v>624</v>
      </c>
      <c r="B103" s="546" t="s">
        <v>807</v>
      </c>
      <c r="C103" s="546" t="s">
        <v>808</v>
      </c>
      <c r="D103" s="248"/>
      <c r="E103" s="248">
        <f t="shared" si="4"/>
        <v>0</v>
      </c>
      <c r="F103" s="248"/>
      <c r="J103" s="549"/>
      <c r="K103" s="549"/>
    </row>
    <row r="104" spans="1:11" s="548" customFormat="1" ht="72" customHeight="1">
      <c r="A104" s="547" t="s">
        <v>624</v>
      </c>
      <c r="B104" s="546" t="s">
        <v>809</v>
      </c>
      <c r="C104" s="546" t="s">
        <v>810</v>
      </c>
      <c r="D104" s="248">
        <f>SUM(D105)</f>
        <v>1000</v>
      </c>
      <c r="E104" s="248">
        <f>SUM(E105)</f>
        <v>0</v>
      </c>
      <c r="F104" s="248">
        <f>SUM(F105)</f>
        <v>1000</v>
      </c>
      <c r="J104" s="549"/>
      <c r="K104" s="549"/>
    </row>
    <row r="105" spans="1:11" s="548" customFormat="1" ht="66" customHeight="1">
      <c r="A105" s="547" t="s">
        <v>270</v>
      </c>
      <c r="B105" s="546" t="s">
        <v>811</v>
      </c>
      <c r="C105" s="546" t="s">
        <v>812</v>
      </c>
      <c r="D105" s="248">
        <f>1000</f>
        <v>1000</v>
      </c>
      <c r="E105" s="248">
        <f>F105-D105</f>
        <v>0</v>
      </c>
      <c r="F105" s="248">
        <f>1000</f>
        <v>1000</v>
      </c>
      <c r="J105" s="549"/>
      <c r="K105" s="549"/>
    </row>
    <row r="106" spans="1:11" s="548" customFormat="1" ht="30" hidden="1" customHeight="1">
      <c r="A106" s="547"/>
      <c r="B106" s="546" t="s">
        <v>813</v>
      </c>
      <c r="C106" s="546" t="s">
        <v>814</v>
      </c>
      <c r="D106" s="248">
        <v>0</v>
      </c>
      <c r="E106" s="248">
        <f>F106-D106</f>
        <v>0</v>
      </c>
      <c r="F106" s="248">
        <v>0</v>
      </c>
      <c r="J106" s="549"/>
      <c r="K106" s="549"/>
    </row>
    <row r="107" spans="1:11" s="548" customFormat="1" ht="30" hidden="1" customHeight="1">
      <c r="A107" s="547"/>
      <c r="B107" s="546" t="s">
        <v>815</v>
      </c>
      <c r="C107" s="546" t="s">
        <v>816</v>
      </c>
      <c r="D107" s="248"/>
      <c r="E107" s="248">
        <f>F107-D107</f>
        <v>0</v>
      </c>
      <c r="F107" s="248"/>
      <c r="J107" s="549"/>
      <c r="K107" s="549"/>
    </row>
    <row r="108" spans="1:11" s="548" customFormat="1">
      <c r="A108" s="547" t="s">
        <v>624</v>
      </c>
      <c r="B108" s="546" t="s">
        <v>817</v>
      </c>
      <c r="C108" s="546" t="s">
        <v>818</v>
      </c>
      <c r="D108" s="248">
        <f>SUM(D111)</f>
        <v>30</v>
      </c>
      <c r="E108" s="248">
        <f>SUM(E111)</f>
        <v>0</v>
      </c>
      <c r="F108" s="248">
        <f>SUM(F111)</f>
        <v>30</v>
      </c>
      <c r="J108" s="549"/>
      <c r="K108" s="549"/>
    </row>
    <row r="109" spans="1:11" s="548" customFormat="1" ht="30" hidden="1" customHeight="1">
      <c r="A109" s="547"/>
      <c r="B109" s="546" t="s">
        <v>819</v>
      </c>
      <c r="C109" s="546" t="s">
        <v>820</v>
      </c>
      <c r="D109" s="248"/>
      <c r="E109" s="248"/>
      <c r="F109" s="248"/>
      <c r="J109" s="549"/>
      <c r="K109" s="549"/>
    </row>
    <row r="110" spans="1:11" s="548" customFormat="1" ht="30" hidden="1" customHeight="1">
      <c r="A110" s="547"/>
      <c r="B110" s="546" t="s">
        <v>821</v>
      </c>
      <c r="C110" s="546" t="s">
        <v>822</v>
      </c>
      <c r="D110" s="248"/>
      <c r="E110" s="248"/>
      <c r="F110" s="248"/>
      <c r="J110" s="549"/>
      <c r="K110" s="549"/>
    </row>
    <row r="111" spans="1:11" s="548" customFormat="1" ht="51" customHeight="1">
      <c r="A111" s="547" t="s">
        <v>624</v>
      </c>
      <c r="B111" s="546" t="s">
        <v>823</v>
      </c>
      <c r="C111" s="546" t="s">
        <v>824</v>
      </c>
      <c r="D111" s="248">
        <f>SUM(D112)</f>
        <v>30</v>
      </c>
      <c r="E111" s="248">
        <f>SUM(E112)</f>
        <v>0</v>
      </c>
      <c r="F111" s="248">
        <f>SUM(F112)</f>
        <v>30</v>
      </c>
      <c r="J111" s="549"/>
      <c r="K111" s="549"/>
    </row>
    <row r="112" spans="1:11" s="548" customFormat="1" ht="37.5" customHeight="1">
      <c r="A112" s="547" t="s">
        <v>270</v>
      </c>
      <c r="B112" s="546" t="s">
        <v>825</v>
      </c>
      <c r="C112" s="546" t="s">
        <v>826</v>
      </c>
      <c r="D112" s="248">
        <v>30</v>
      </c>
      <c r="E112" s="248">
        <f>F112-D112</f>
        <v>0</v>
      </c>
      <c r="F112" s="248">
        <v>30</v>
      </c>
      <c r="J112" s="549"/>
      <c r="K112" s="549"/>
    </row>
    <row r="113" spans="1:11" s="548" customFormat="1" ht="33" customHeight="1">
      <c r="A113" s="547" t="s">
        <v>624</v>
      </c>
      <c r="B113" s="546" t="s">
        <v>827</v>
      </c>
      <c r="C113" s="546" t="s">
        <v>828</v>
      </c>
      <c r="D113" s="248">
        <f>SUM(D114:D129)-D114-D120</f>
        <v>2445</v>
      </c>
      <c r="E113" s="248">
        <f>SUM(E114:E129)-E114-E120</f>
        <v>0</v>
      </c>
      <c r="F113" s="248">
        <f>SUM(F114:F129)-F114-F120</f>
        <v>2445</v>
      </c>
      <c r="J113" s="549"/>
      <c r="K113" s="549"/>
    </row>
    <row r="114" spans="1:11" s="548" customFormat="1" ht="37.5" customHeight="1">
      <c r="A114" s="547" t="s">
        <v>624</v>
      </c>
      <c r="B114" s="546" t="s">
        <v>829</v>
      </c>
      <c r="C114" s="546" t="s">
        <v>830</v>
      </c>
      <c r="D114" s="248">
        <f>SUM(D115:D117)</f>
        <v>50</v>
      </c>
      <c r="E114" s="248">
        <f>SUM(E115:E117)</f>
        <v>0</v>
      </c>
      <c r="F114" s="248">
        <f>SUM(F115:F117)</f>
        <v>50</v>
      </c>
      <c r="J114" s="549"/>
      <c r="K114" s="549"/>
    </row>
    <row r="115" spans="1:11" s="548" customFormat="1" ht="81.75" customHeight="1">
      <c r="A115" s="547" t="s">
        <v>630</v>
      </c>
      <c r="B115" s="546" t="s">
        <v>831</v>
      </c>
      <c r="C115" s="546" t="s">
        <v>832</v>
      </c>
      <c r="D115" s="248">
        <v>15</v>
      </c>
      <c r="E115" s="248">
        <f>F115-D115</f>
        <v>0</v>
      </c>
      <c r="F115" s="248">
        <v>15</v>
      </c>
      <c r="J115" s="549"/>
      <c r="K115" s="549"/>
    </row>
    <row r="116" spans="1:11" s="548" customFormat="1" ht="45" hidden="1" customHeight="1">
      <c r="A116" s="547"/>
      <c r="B116" s="546" t="s">
        <v>833</v>
      </c>
      <c r="C116" s="546" t="s">
        <v>834</v>
      </c>
      <c r="D116" s="248"/>
      <c r="E116" s="248">
        <f>F116-D116</f>
        <v>0</v>
      </c>
      <c r="F116" s="248"/>
      <c r="J116" s="549"/>
      <c r="K116" s="549"/>
    </row>
    <row r="117" spans="1:11" s="548" customFormat="1" ht="69.75" customHeight="1">
      <c r="A117" s="547" t="s">
        <v>630</v>
      </c>
      <c r="B117" s="546" t="s">
        <v>835</v>
      </c>
      <c r="C117" s="546" t="s">
        <v>836</v>
      </c>
      <c r="D117" s="248">
        <v>35</v>
      </c>
      <c r="E117" s="248">
        <f>F117-D117</f>
        <v>0</v>
      </c>
      <c r="F117" s="248">
        <v>35</v>
      </c>
      <c r="J117" s="549"/>
      <c r="K117" s="549"/>
    </row>
    <row r="118" spans="1:11" s="548" customFormat="1" ht="86.25" customHeight="1">
      <c r="A118" s="547" t="s">
        <v>624</v>
      </c>
      <c r="B118" s="546" t="s">
        <v>837</v>
      </c>
      <c r="C118" s="546" t="s">
        <v>838</v>
      </c>
      <c r="D118" s="248">
        <v>75</v>
      </c>
      <c r="E118" s="248">
        <f>F118-D118</f>
        <v>0</v>
      </c>
      <c r="F118" s="248">
        <v>75</v>
      </c>
      <c r="J118" s="549"/>
      <c r="K118" s="549"/>
    </row>
    <row r="119" spans="1:11" s="548" customFormat="1" ht="91.5" customHeight="1">
      <c r="A119" s="547" t="s">
        <v>624</v>
      </c>
      <c r="B119" s="546" t="s">
        <v>839</v>
      </c>
      <c r="C119" s="546" t="s">
        <v>840</v>
      </c>
      <c r="D119" s="248">
        <v>45</v>
      </c>
      <c r="E119" s="248">
        <f>F119-D119</f>
        <v>0</v>
      </c>
      <c r="F119" s="248">
        <v>45</v>
      </c>
      <c r="J119" s="549"/>
      <c r="K119" s="549"/>
    </row>
    <row r="120" spans="1:11" s="548" customFormat="1" ht="123" customHeight="1">
      <c r="A120" s="547" t="s">
        <v>624</v>
      </c>
      <c r="B120" s="546" t="s">
        <v>841</v>
      </c>
      <c r="C120" s="546" t="s">
        <v>842</v>
      </c>
      <c r="D120" s="248">
        <f>SUM(D121:D124)</f>
        <v>55</v>
      </c>
      <c r="E120" s="248">
        <f>SUM(E121:E124)</f>
        <v>0</v>
      </c>
      <c r="F120" s="248">
        <f>SUM(F121:F124)</f>
        <v>55</v>
      </c>
      <c r="J120" s="549"/>
      <c r="K120" s="549"/>
    </row>
    <row r="121" spans="1:11" s="548" customFormat="1" ht="30">
      <c r="A121" s="547" t="s">
        <v>624</v>
      </c>
      <c r="B121" s="546" t="s">
        <v>843</v>
      </c>
      <c r="C121" s="546" t="s">
        <v>844</v>
      </c>
      <c r="D121" s="248">
        <v>35</v>
      </c>
      <c r="E121" s="248">
        <f t="shared" ref="E121:E132" si="5">F121-D121</f>
        <v>0</v>
      </c>
      <c r="F121" s="248">
        <v>35</v>
      </c>
      <c r="J121" s="549"/>
      <c r="K121" s="549"/>
    </row>
    <row r="122" spans="1:11" s="548" customFormat="1" ht="55.5" customHeight="1">
      <c r="A122" s="547" t="s">
        <v>624</v>
      </c>
      <c r="B122" s="546" t="s">
        <v>845</v>
      </c>
      <c r="C122" s="546" t="s">
        <v>846</v>
      </c>
      <c r="D122" s="248">
        <v>10</v>
      </c>
      <c r="E122" s="248">
        <f t="shared" si="5"/>
        <v>0</v>
      </c>
      <c r="F122" s="248">
        <v>10</v>
      </c>
      <c r="J122" s="549"/>
      <c r="K122" s="549"/>
    </row>
    <row r="123" spans="1:11" s="548" customFormat="1" ht="30.75" hidden="1" customHeight="1">
      <c r="A123" s="547" t="s">
        <v>624</v>
      </c>
      <c r="B123" s="546" t="s">
        <v>847</v>
      </c>
      <c r="C123" s="546" t="s">
        <v>848</v>
      </c>
      <c r="D123" s="248"/>
      <c r="E123" s="248">
        <f t="shared" si="5"/>
        <v>0</v>
      </c>
      <c r="F123" s="248"/>
      <c r="J123" s="549"/>
      <c r="K123" s="549"/>
    </row>
    <row r="124" spans="1:11" s="548" customFormat="1" ht="37.5" customHeight="1">
      <c r="A124" s="547" t="s">
        <v>624</v>
      </c>
      <c r="B124" s="546" t="s">
        <v>849</v>
      </c>
      <c r="C124" s="546" t="s">
        <v>850</v>
      </c>
      <c r="D124" s="248">
        <v>10</v>
      </c>
      <c r="E124" s="248">
        <f t="shared" si="5"/>
        <v>0</v>
      </c>
      <c r="F124" s="248">
        <v>10</v>
      </c>
      <c r="J124" s="549"/>
      <c r="K124" s="549"/>
    </row>
    <row r="125" spans="1:11" s="548" customFormat="1" ht="30" hidden="1" customHeight="1">
      <c r="A125" s="547"/>
      <c r="B125" s="546" t="s">
        <v>851</v>
      </c>
      <c r="C125" s="546" t="s">
        <v>852</v>
      </c>
      <c r="D125" s="248"/>
      <c r="E125" s="248">
        <f t="shared" si="5"/>
        <v>0</v>
      </c>
      <c r="F125" s="248"/>
      <c r="J125" s="549"/>
      <c r="K125" s="549"/>
    </row>
    <row r="126" spans="1:11" s="548" customFormat="1" ht="66.75" customHeight="1">
      <c r="A126" s="547" t="s">
        <v>624</v>
      </c>
      <c r="B126" s="546" t="s">
        <v>853</v>
      </c>
      <c r="C126" s="546" t="s">
        <v>854</v>
      </c>
      <c r="D126" s="248">
        <f>415</f>
        <v>415</v>
      </c>
      <c r="E126" s="248">
        <f t="shared" si="5"/>
        <v>0</v>
      </c>
      <c r="F126" s="248">
        <f>415</f>
        <v>415</v>
      </c>
      <c r="J126" s="549"/>
      <c r="K126" s="549"/>
    </row>
    <row r="127" spans="1:11" s="548" customFormat="1" ht="34.5" customHeight="1">
      <c r="A127" s="547" t="s">
        <v>624</v>
      </c>
      <c r="B127" s="546" t="s">
        <v>855</v>
      </c>
      <c r="C127" s="546" t="s">
        <v>856</v>
      </c>
      <c r="D127" s="248">
        <f>1000</f>
        <v>1000</v>
      </c>
      <c r="E127" s="248">
        <f t="shared" si="5"/>
        <v>0</v>
      </c>
      <c r="F127" s="248">
        <f>1000</f>
        <v>1000</v>
      </c>
      <c r="J127" s="549"/>
      <c r="K127" s="549"/>
    </row>
    <row r="128" spans="1:11" s="548" customFormat="1" ht="67.5" customHeight="1">
      <c r="A128" s="547" t="s">
        <v>624</v>
      </c>
      <c r="B128" s="546" t="s">
        <v>857</v>
      </c>
      <c r="C128" s="546" t="s">
        <v>858</v>
      </c>
      <c r="D128" s="248">
        <v>60</v>
      </c>
      <c r="E128" s="248">
        <f t="shared" si="5"/>
        <v>0</v>
      </c>
      <c r="F128" s="248">
        <v>60</v>
      </c>
      <c r="J128" s="549"/>
      <c r="K128" s="549"/>
    </row>
    <row r="129" spans="1:11" s="548" customFormat="1" ht="46.5" customHeight="1">
      <c r="A129" s="547" t="s">
        <v>624</v>
      </c>
      <c r="B129" s="546" t="s">
        <v>859</v>
      </c>
      <c r="C129" s="546" t="s">
        <v>860</v>
      </c>
      <c r="D129" s="248">
        <v>745</v>
      </c>
      <c r="E129" s="248">
        <f t="shared" si="5"/>
        <v>0</v>
      </c>
      <c r="F129" s="248">
        <v>745</v>
      </c>
      <c r="J129" s="549"/>
      <c r="K129" s="549"/>
    </row>
    <row r="130" spans="1:11" s="548" customFormat="1" ht="46.5" hidden="1" customHeight="1">
      <c r="A130" s="547" t="s">
        <v>270</v>
      </c>
      <c r="B130" s="546" t="s">
        <v>861</v>
      </c>
      <c r="C130" s="546" t="s">
        <v>860</v>
      </c>
      <c r="D130" s="248"/>
      <c r="E130" s="248">
        <f t="shared" si="5"/>
        <v>0</v>
      </c>
      <c r="F130" s="248"/>
      <c r="J130" s="549"/>
      <c r="K130" s="549"/>
    </row>
    <row r="131" spans="1:11" s="548" customFormat="1" ht="46.5" hidden="1" customHeight="1">
      <c r="A131" s="547" t="s">
        <v>862</v>
      </c>
      <c r="B131" s="546" t="s">
        <v>861</v>
      </c>
      <c r="C131" s="546" t="s">
        <v>860</v>
      </c>
      <c r="D131" s="248"/>
      <c r="E131" s="248">
        <f t="shared" si="5"/>
        <v>0</v>
      </c>
      <c r="F131" s="248"/>
      <c r="J131" s="549"/>
      <c r="K131" s="549"/>
    </row>
    <row r="132" spans="1:11" s="548" customFormat="1" ht="51" hidden="1" customHeight="1">
      <c r="A132" s="547" t="s">
        <v>421</v>
      </c>
      <c r="B132" s="546" t="s">
        <v>861</v>
      </c>
      <c r="C132" s="546" t="s">
        <v>860</v>
      </c>
      <c r="D132" s="248"/>
      <c r="E132" s="248">
        <f t="shared" si="5"/>
        <v>0</v>
      </c>
      <c r="F132" s="248"/>
      <c r="J132" s="549"/>
      <c r="K132" s="549"/>
    </row>
    <row r="133" spans="1:11" s="548" customFormat="1" ht="22.5" customHeight="1">
      <c r="A133" s="547" t="s">
        <v>624</v>
      </c>
      <c r="B133" s="546" t="s">
        <v>863</v>
      </c>
      <c r="C133" s="546" t="s">
        <v>864</v>
      </c>
      <c r="D133" s="248">
        <f>SUM(D137)</f>
        <v>750.548</v>
      </c>
      <c r="E133" s="248">
        <f>SUM(E137)</f>
        <v>0</v>
      </c>
      <c r="F133" s="248">
        <f>SUM(F137)</f>
        <v>750.548</v>
      </c>
      <c r="J133" s="549"/>
      <c r="K133" s="549"/>
    </row>
    <row r="134" spans="1:11" s="548" customFormat="1" ht="30" hidden="1" customHeight="1">
      <c r="A134" s="547"/>
      <c r="B134" s="546" t="s">
        <v>865</v>
      </c>
      <c r="C134" s="546" t="s">
        <v>866</v>
      </c>
      <c r="D134" s="248">
        <v>2</v>
      </c>
      <c r="E134" s="248">
        <v>1</v>
      </c>
      <c r="F134" s="248">
        <v>2</v>
      </c>
      <c r="J134" s="549"/>
      <c r="K134" s="549"/>
    </row>
    <row r="135" spans="1:11" s="548" customFormat="1" ht="30" hidden="1" customHeight="1">
      <c r="A135" s="547"/>
      <c r="B135" s="546" t="s">
        <v>867</v>
      </c>
      <c r="C135" s="546" t="s">
        <v>868</v>
      </c>
      <c r="D135" s="248"/>
      <c r="E135" s="248"/>
      <c r="F135" s="248"/>
      <c r="J135" s="549"/>
      <c r="K135" s="549"/>
    </row>
    <row r="136" spans="1:11" s="548" customFormat="1" ht="30" hidden="1" customHeight="1">
      <c r="A136" s="547"/>
      <c r="B136" s="546" t="s">
        <v>869</v>
      </c>
      <c r="C136" s="546" t="s">
        <v>870</v>
      </c>
      <c r="D136" s="248"/>
      <c r="E136" s="248"/>
      <c r="F136" s="248"/>
      <c r="J136" s="549"/>
      <c r="K136" s="549"/>
    </row>
    <row r="137" spans="1:11" s="548" customFormat="1">
      <c r="A137" s="547" t="s">
        <v>624</v>
      </c>
      <c r="B137" s="546" t="s">
        <v>871</v>
      </c>
      <c r="C137" s="546" t="s">
        <v>872</v>
      </c>
      <c r="D137" s="248">
        <f>SUM(D138)</f>
        <v>750.548</v>
      </c>
      <c r="E137" s="248">
        <f>SUM(E138)</f>
        <v>0</v>
      </c>
      <c r="F137" s="248">
        <f>SUM(F138)</f>
        <v>750.548</v>
      </c>
      <c r="J137" s="549"/>
      <c r="K137" s="549"/>
    </row>
    <row r="138" spans="1:11" s="548" customFormat="1" ht="36" customHeight="1">
      <c r="A138" s="547" t="s">
        <v>270</v>
      </c>
      <c r="B138" s="546" t="s">
        <v>873</v>
      </c>
      <c r="C138" s="546" t="s">
        <v>874</v>
      </c>
      <c r="D138" s="248">
        <f>282.91+463.68+3.958</f>
        <v>750.548</v>
      </c>
      <c r="E138" s="248">
        <f>F138-D138</f>
        <v>0</v>
      </c>
      <c r="F138" s="248">
        <f>282.91+463.68+3.958</f>
        <v>750.548</v>
      </c>
      <c r="J138" s="549"/>
      <c r="K138" s="549"/>
    </row>
    <row r="139" spans="1:11" s="548" customFormat="1" ht="57" hidden="1" customHeight="1">
      <c r="A139" s="547" t="s">
        <v>624</v>
      </c>
      <c r="B139" s="546" t="s">
        <v>875</v>
      </c>
      <c r="C139" s="546" t="s">
        <v>876</v>
      </c>
      <c r="D139" s="248">
        <v>0</v>
      </c>
      <c r="E139" s="248">
        <f>F139-D139</f>
        <v>0</v>
      </c>
      <c r="F139" s="248">
        <v>0</v>
      </c>
      <c r="J139" s="549"/>
      <c r="K139" s="549"/>
    </row>
    <row r="140" spans="1:11" s="548" customFormat="1" ht="72" hidden="1" customHeight="1">
      <c r="A140" s="547" t="s">
        <v>270</v>
      </c>
      <c r="B140" s="546" t="s">
        <v>877</v>
      </c>
      <c r="C140" s="546" t="s">
        <v>878</v>
      </c>
      <c r="D140" s="248"/>
      <c r="E140" s="248">
        <f>F140-D140</f>
        <v>0</v>
      </c>
      <c r="F140" s="248"/>
      <c r="J140" s="549"/>
      <c r="K140" s="549"/>
    </row>
    <row r="141" spans="1:11" s="548" customFormat="1" ht="30" hidden="1" customHeight="1">
      <c r="A141" s="547"/>
      <c r="B141" s="546" t="s">
        <v>879</v>
      </c>
      <c r="C141" s="546" t="s">
        <v>880</v>
      </c>
      <c r="D141" s="248"/>
      <c r="E141" s="248">
        <f>F141-D141</f>
        <v>0</v>
      </c>
      <c r="F141" s="248"/>
      <c r="J141" s="549"/>
      <c r="K141" s="549"/>
    </row>
    <row r="142" spans="1:11" s="548" customFormat="1" ht="45" hidden="1" customHeight="1">
      <c r="A142" s="547"/>
      <c r="B142" s="546" t="s">
        <v>881</v>
      </c>
      <c r="C142" s="546" t="s">
        <v>882</v>
      </c>
      <c r="D142" s="248"/>
      <c r="E142" s="248">
        <f>F142-D142</f>
        <v>0</v>
      </c>
      <c r="F142" s="248"/>
      <c r="J142" s="549"/>
      <c r="K142" s="549"/>
    </row>
    <row r="143" spans="1:11" s="548" customFormat="1">
      <c r="A143" s="547" t="s">
        <v>624</v>
      </c>
      <c r="B143" s="546" t="s">
        <v>883</v>
      </c>
      <c r="C143" s="546" t="s">
        <v>884</v>
      </c>
      <c r="D143" s="248">
        <f>D144+D224+D225</f>
        <v>479741.63771999994</v>
      </c>
      <c r="E143" s="248">
        <f>E144+E224+E225</f>
        <v>59660.560999999987</v>
      </c>
      <c r="F143" s="462">
        <f>F144+F224+F225</f>
        <v>539402.19871999999</v>
      </c>
      <c r="J143" s="549"/>
      <c r="K143" s="549"/>
    </row>
    <row r="144" spans="1:11" s="548" customFormat="1" ht="51" customHeight="1">
      <c r="A144" s="547" t="s">
        <v>624</v>
      </c>
      <c r="B144" s="546" t="s">
        <v>885</v>
      </c>
      <c r="C144" s="546" t="s">
        <v>886</v>
      </c>
      <c r="D144" s="248">
        <f>D145+D150+D174+D220</f>
        <v>480915.29299999995</v>
      </c>
      <c r="E144" s="248">
        <f>E145+E150+E174+E220</f>
        <v>59660.560999999987</v>
      </c>
      <c r="F144" s="462">
        <f>F145+F150+F174+F220</f>
        <v>540575.85399999993</v>
      </c>
      <c r="J144" s="549"/>
      <c r="K144" s="549"/>
    </row>
    <row r="145" spans="1:11" s="548" customFormat="1" ht="35.25" customHeight="1">
      <c r="A145" s="547" t="s">
        <v>624</v>
      </c>
      <c r="B145" s="546" t="s">
        <v>887</v>
      </c>
      <c r="C145" s="546" t="s">
        <v>95</v>
      </c>
      <c r="D145" s="248">
        <f>D146+D149</f>
        <v>103315.8</v>
      </c>
      <c r="E145" s="248">
        <f>E146+E149</f>
        <v>-1312.1000000000058</v>
      </c>
      <c r="F145" s="248">
        <f>F146+F149</f>
        <v>102003.7</v>
      </c>
      <c r="J145" s="549"/>
      <c r="K145" s="549"/>
    </row>
    <row r="146" spans="1:11" s="548" customFormat="1" ht="39" customHeight="1">
      <c r="A146" s="547" t="s">
        <v>270</v>
      </c>
      <c r="B146" s="546" t="s">
        <v>888</v>
      </c>
      <c r="C146" s="546" t="s">
        <v>889</v>
      </c>
      <c r="D146" s="248">
        <f>SUM(D147:D148)</f>
        <v>98946.78</v>
      </c>
      <c r="E146" s="248">
        <f>SUM(E147:E148)</f>
        <v>-1312.1000000000058</v>
      </c>
      <c r="F146" s="248">
        <f>SUM(F147:F148)</f>
        <v>97634.68</v>
      </c>
      <c r="J146" s="549"/>
      <c r="K146" s="549"/>
    </row>
    <row r="147" spans="1:11" s="548" customFormat="1" ht="34.5" customHeight="1">
      <c r="A147" s="547"/>
      <c r="B147" s="546"/>
      <c r="C147" s="546" t="s">
        <v>890</v>
      </c>
      <c r="D147" s="249">
        <f>95551.28-874</f>
        <v>94677.28</v>
      </c>
      <c r="E147" s="248">
        <f>F147-D147</f>
        <v>-1312.1000000000058</v>
      </c>
      <c r="F147" s="249">
        <f>97634.68-4269.5</f>
        <v>93365.18</v>
      </c>
      <c r="J147" s="549"/>
      <c r="K147" s="549"/>
    </row>
    <row r="148" spans="1:11" s="548" customFormat="1" ht="46.5" customHeight="1">
      <c r="A148" s="547"/>
      <c r="B148" s="546"/>
      <c r="C148" s="546" t="s">
        <v>891</v>
      </c>
      <c r="D148" s="248">
        <v>4269.5</v>
      </c>
      <c r="E148" s="248">
        <f>F148-D148</f>
        <v>0</v>
      </c>
      <c r="F148" s="248">
        <v>4269.5</v>
      </c>
      <c r="J148" s="549"/>
      <c r="K148" s="549"/>
    </row>
    <row r="149" spans="1:11" s="548" customFormat="1" ht="43.5" customHeight="1">
      <c r="A149" s="547" t="s">
        <v>270</v>
      </c>
      <c r="B149" s="546" t="s">
        <v>892</v>
      </c>
      <c r="C149" s="546" t="s">
        <v>893</v>
      </c>
      <c r="D149" s="248">
        <f>2299.02+1500+570</f>
        <v>4369.0200000000004</v>
      </c>
      <c r="E149" s="248">
        <f>F149-D149</f>
        <v>0</v>
      </c>
      <c r="F149" s="248">
        <f>2299.02+1500+570</f>
        <v>4369.0200000000004</v>
      </c>
      <c r="J149" s="549"/>
      <c r="K149" s="549"/>
    </row>
    <row r="150" spans="1:11" s="548" customFormat="1" ht="33" customHeight="1">
      <c r="A150" s="547" t="s">
        <v>624</v>
      </c>
      <c r="B150" s="546" t="s">
        <v>894</v>
      </c>
      <c r="C150" s="546" t="s">
        <v>895</v>
      </c>
      <c r="D150" s="248">
        <f>SUM(D151:D158)</f>
        <v>125923.59</v>
      </c>
      <c r="E150" s="248">
        <f>SUM(E151:E158)</f>
        <v>44630.160999999993</v>
      </c>
      <c r="F150" s="462">
        <f>SUM(F151:F158)</f>
        <v>170553.75099999999</v>
      </c>
      <c r="J150" s="549"/>
      <c r="K150" s="549"/>
    </row>
    <row r="151" spans="1:11" s="548" customFormat="1" ht="62.25" customHeight="1">
      <c r="A151" s="547" t="s">
        <v>270</v>
      </c>
      <c r="B151" s="546" t="s">
        <v>1159</v>
      </c>
      <c r="C151" s="546" t="s">
        <v>1160</v>
      </c>
      <c r="D151" s="248">
        <v>33.228000000000002</v>
      </c>
      <c r="E151" s="248">
        <f t="shared" ref="E151:E173" si="6">F151-D151</f>
        <v>1168.8309999999999</v>
      </c>
      <c r="F151" s="248">
        <v>1202.059</v>
      </c>
      <c r="J151" s="549"/>
      <c r="K151" s="549"/>
    </row>
    <row r="152" spans="1:11" s="548" customFormat="1" ht="38.25" customHeight="1">
      <c r="A152" s="547" t="s">
        <v>270</v>
      </c>
      <c r="B152" s="546" t="s">
        <v>1216</v>
      </c>
      <c r="C152" s="546" t="s">
        <v>898</v>
      </c>
      <c r="D152" s="248"/>
      <c r="E152" s="248">
        <f t="shared" si="6"/>
        <v>870.93</v>
      </c>
      <c r="F152" s="248">
        <v>870.93</v>
      </c>
      <c r="J152" s="549"/>
      <c r="K152" s="549"/>
    </row>
    <row r="153" spans="1:11" s="548" customFormat="1" ht="34.5" customHeight="1">
      <c r="A153" s="547" t="s">
        <v>270</v>
      </c>
      <c r="B153" s="546" t="s">
        <v>897</v>
      </c>
      <c r="C153" s="546" t="s">
        <v>898</v>
      </c>
      <c r="D153" s="248">
        <f>26139+10640.6+3386.6+201+20000+155+30000</f>
        <v>90522.2</v>
      </c>
      <c r="E153" s="248">
        <f t="shared" si="6"/>
        <v>40463</v>
      </c>
      <c r="F153" s="248">
        <f>104020.2+15000+10000+1965</f>
        <v>130985.2</v>
      </c>
      <c r="J153" s="549"/>
      <c r="K153" s="549"/>
    </row>
    <row r="154" spans="1:11" s="548" customFormat="1" ht="51" customHeight="1">
      <c r="A154" s="547" t="s">
        <v>270</v>
      </c>
      <c r="B154" s="546" t="s">
        <v>1075</v>
      </c>
      <c r="C154" s="546" t="s">
        <v>1076</v>
      </c>
      <c r="D154" s="248">
        <v>1000</v>
      </c>
      <c r="E154" s="248">
        <f t="shared" si="6"/>
        <v>0</v>
      </c>
      <c r="F154" s="248">
        <v>1000</v>
      </c>
      <c r="J154" s="549"/>
      <c r="K154" s="549"/>
    </row>
    <row r="155" spans="1:11" s="548" customFormat="1" ht="59.25" customHeight="1">
      <c r="A155" s="547" t="s">
        <v>270</v>
      </c>
      <c r="B155" s="546" t="s">
        <v>1161</v>
      </c>
      <c r="C155" s="546" t="s">
        <v>1162</v>
      </c>
      <c r="D155" s="248">
        <v>3601.962</v>
      </c>
      <c r="E155" s="248">
        <f t="shared" si="6"/>
        <v>0</v>
      </c>
      <c r="F155" s="248">
        <v>3601.962</v>
      </c>
      <c r="J155" s="549"/>
      <c r="K155" s="549"/>
    </row>
    <row r="156" spans="1:11" s="548" customFormat="1" ht="59.25" customHeight="1">
      <c r="A156" s="547" t="s">
        <v>270</v>
      </c>
      <c r="B156" s="546" t="s">
        <v>1163</v>
      </c>
      <c r="C156" s="546" t="s">
        <v>1164</v>
      </c>
      <c r="D156" s="248">
        <v>8150</v>
      </c>
      <c r="E156" s="248">
        <f t="shared" si="6"/>
        <v>-1446</v>
      </c>
      <c r="F156" s="248">
        <v>6704</v>
      </c>
      <c r="J156" s="549"/>
      <c r="K156" s="549"/>
    </row>
    <row r="157" spans="1:11" s="548" customFormat="1" ht="59.25" customHeight="1">
      <c r="A157" s="547" t="s">
        <v>270</v>
      </c>
      <c r="B157" s="546" t="s">
        <v>1215</v>
      </c>
      <c r="C157" s="546" t="s">
        <v>1214</v>
      </c>
      <c r="D157" s="248"/>
      <c r="E157" s="248">
        <f t="shared" si="6"/>
        <v>4840.5</v>
      </c>
      <c r="F157" s="248">
        <v>4840.5</v>
      </c>
      <c r="J157" s="549"/>
      <c r="K157" s="549"/>
    </row>
    <row r="158" spans="1:11" s="550" customFormat="1">
      <c r="A158" s="547" t="s">
        <v>270</v>
      </c>
      <c r="B158" s="546" t="s">
        <v>899</v>
      </c>
      <c r="C158" s="546" t="s">
        <v>900</v>
      </c>
      <c r="D158" s="248">
        <f>SUM(D161:D170)</f>
        <v>22616.2</v>
      </c>
      <c r="E158" s="248">
        <f t="shared" si="6"/>
        <v>-1267.1000000000022</v>
      </c>
      <c r="F158" s="248">
        <f>SUM(F161:F170)</f>
        <v>21349.1</v>
      </c>
      <c r="J158" s="549"/>
      <c r="K158" s="549"/>
    </row>
    <row r="159" spans="1:11" s="548" customFormat="1" ht="90" hidden="1" customHeight="1">
      <c r="A159" s="547" t="s">
        <v>270</v>
      </c>
      <c r="B159" s="546" t="s">
        <v>901</v>
      </c>
      <c r="C159" s="546" t="s">
        <v>902</v>
      </c>
      <c r="D159" s="248"/>
      <c r="E159" s="248">
        <f t="shared" si="6"/>
        <v>0</v>
      </c>
      <c r="F159" s="248"/>
      <c r="J159" s="549"/>
      <c r="K159" s="549"/>
    </row>
    <row r="160" spans="1:11" s="548" customFormat="1" ht="60" hidden="1" customHeight="1">
      <c r="A160" s="547" t="s">
        <v>270</v>
      </c>
      <c r="B160" s="546" t="s">
        <v>901</v>
      </c>
      <c r="C160" s="546" t="s">
        <v>896</v>
      </c>
      <c r="D160" s="248"/>
      <c r="E160" s="248">
        <f t="shared" si="6"/>
        <v>0</v>
      </c>
      <c r="F160" s="248"/>
      <c r="J160" s="549"/>
      <c r="K160" s="549"/>
    </row>
    <row r="161" spans="1:11" s="548" customFormat="1" ht="30" customHeight="1">
      <c r="A161" s="547"/>
      <c r="B161" s="546"/>
      <c r="C161" s="546" t="s">
        <v>903</v>
      </c>
      <c r="D161" s="248">
        <v>806</v>
      </c>
      <c r="E161" s="248">
        <f t="shared" si="6"/>
        <v>0</v>
      </c>
      <c r="F161" s="248">
        <v>806</v>
      </c>
      <c r="J161" s="549"/>
      <c r="K161" s="549"/>
    </row>
    <row r="162" spans="1:11" s="548" customFormat="1" ht="30" hidden="1" customHeight="1">
      <c r="A162" s="547"/>
      <c r="B162" s="546"/>
      <c r="C162" s="546" t="s">
        <v>904</v>
      </c>
      <c r="D162" s="248">
        <v>0</v>
      </c>
      <c r="E162" s="248">
        <f t="shared" si="6"/>
        <v>0</v>
      </c>
      <c r="F162" s="248">
        <v>0</v>
      </c>
      <c r="J162" s="549"/>
      <c r="K162" s="549"/>
    </row>
    <row r="163" spans="1:11" s="548" customFormat="1" ht="30" hidden="1" customHeight="1">
      <c r="A163" s="547"/>
      <c r="B163" s="546"/>
      <c r="C163" s="546" t="s">
        <v>905</v>
      </c>
      <c r="D163" s="248">
        <v>0</v>
      </c>
      <c r="E163" s="248">
        <f t="shared" si="6"/>
        <v>0</v>
      </c>
      <c r="F163" s="248">
        <v>0</v>
      </c>
      <c r="J163" s="549"/>
      <c r="K163" s="549"/>
    </row>
    <row r="164" spans="1:11" s="548" customFormat="1" ht="73.5" customHeight="1">
      <c r="A164" s="547"/>
      <c r="B164" s="546"/>
      <c r="C164" s="546" t="s">
        <v>906</v>
      </c>
      <c r="D164" s="248">
        <v>5613.8</v>
      </c>
      <c r="E164" s="248">
        <f t="shared" si="6"/>
        <v>200</v>
      </c>
      <c r="F164" s="248">
        <v>5813.8</v>
      </c>
      <c r="G164" s="549"/>
      <c r="J164" s="549"/>
      <c r="K164" s="549"/>
    </row>
    <row r="165" spans="1:11" s="548" customFormat="1" ht="30">
      <c r="A165" s="547"/>
      <c r="B165" s="546"/>
      <c r="C165" s="546" t="s">
        <v>907</v>
      </c>
      <c r="D165" s="248">
        <f>12424.2+1250</f>
        <v>13674.2</v>
      </c>
      <c r="E165" s="248">
        <f t="shared" si="6"/>
        <v>-2479.2000000000007</v>
      </c>
      <c r="F165" s="248">
        <v>11195</v>
      </c>
      <c r="J165" s="549"/>
      <c r="K165" s="549"/>
    </row>
    <row r="166" spans="1:11" s="548" customFormat="1" ht="84" customHeight="1">
      <c r="A166" s="547"/>
      <c r="B166" s="546"/>
      <c r="C166" s="546" t="s">
        <v>1165</v>
      </c>
      <c r="D166" s="248">
        <v>2067</v>
      </c>
      <c r="E166" s="248">
        <f t="shared" si="6"/>
        <v>943.09999999999991</v>
      </c>
      <c r="F166" s="248">
        <v>3010.1</v>
      </c>
      <c r="J166" s="549"/>
      <c r="K166" s="549"/>
    </row>
    <row r="167" spans="1:11" s="548" customFormat="1" ht="50.25" customHeight="1">
      <c r="A167" s="547"/>
      <c r="B167" s="546"/>
      <c r="C167" s="546" t="s">
        <v>908</v>
      </c>
      <c r="D167" s="248">
        <v>411.7</v>
      </c>
      <c r="E167" s="248">
        <f t="shared" si="6"/>
        <v>-80</v>
      </c>
      <c r="F167" s="248">
        <v>331.7</v>
      </c>
      <c r="J167" s="549"/>
      <c r="K167" s="549"/>
    </row>
    <row r="168" spans="1:11" s="548" customFormat="1" ht="114.75" customHeight="1">
      <c r="A168" s="547"/>
      <c r="B168" s="546"/>
      <c r="C168" s="546" t="s">
        <v>1213</v>
      </c>
      <c r="D168" s="248"/>
      <c r="E168" s="248">
        <f t="shared" si="6"/>
        <v>24.8</v>
      </c>
      <c r="F168" s="248">
        <v>24.8</v>
      </c>
      <c r="J168" s="549"/>
      <c r="K168" s="549"/>
    </row>
    <row r="169" spans="1:11" s="548" customFormat="1" ht="75" customHeight="1">
      <c r="A169" s="547"/>
      <c r="B169" s="546"/>
      <c r="C169" s="546" t="s">
        <v>1212</v>
      </c>
      <c r="D169" s="248"/>
      <c r="E169" s="248">
        <f t="shared" si="6"/>
        <v>124.2</v>
      </c>
      <c r="F169" s="248">
        <v>124.2</v>
      </c>
      <c r="J169" s="549"/>
      <c r="K169" s="549"/>
    </row>
    <row r="170" spans="1:11" s="548" customFormat="1" ht="61.5" customHeight="1">
      <c r="A170" s="547"/>
      <c r="B170" s="546"/>
      <c r="C170" s="546" t="s">
        <v>909</v>
      </c>
      <c r="D170" s="248">
        <v>43.5</v>
      </c>
      <c r="E170" s="248">
        <f t="shared" si="6"/>
        <v>0</v>
      </c>
      <c r="F170" s="248">
        <v>43.5</v>
      </c>
      <c r="J170" s="549"/>
      <c r="K170" s="549"/>
    </row>
    <row r="171" spans="1:11" s="548" customFormat="1" ht="75" hidden="1" customHeight="1">
      <c r="A171" s="547" t="s">
        <v>270</v>
      </c>
      <c r="B171" s="546" t="s">
        <v>899</v>
      </c>
      <c r="C171" s="546" t="s">
        <v>910</v>
      </c>
      <c r="D171" s="248"/>
      <c r="E171" s="248">
        <f t="shared" si="6"/>
        <v>0</v>
      </c>
      <c r="F171" s="248"/>
      <c r="J171" s="549"/>
      <c r="K171" s="549"/>
    </row>
    <row r="172" spans="1:11" s="548" customFormat="1" ht="75" hidden="1" customHeight="1">
      <c r="A172" s="547" t="s">
        <v>270</v>
      </c>
      <c r="B172" s="546" t="s">
        <v>899</v>
      </c>
      <c r="C172" s="546" t="s">
        <v>911</v>
      </c>
      <c r="D172" s="248"/>
      <c r="E172" s="248">
        <f t="shared" si="6"/>
        <v>0</v>
      </c>
      <c r="F172" s="248"/>
      <c r="J172" s="549"/>
      <c r="K172" s="549"/>
    </row>
    <row r="173" spans="1:11" s="548" customFormat="1" ht="75.75" hidden="1" customHeight="1">
      <c r="A173" s="547" t="s">
        <v>270</v>
      </c>
      <c r="B173" s="546" t="s">
        <v>899</v>
      </c>
      <c r="C173" s="546" t="s">
        <v>912</v>
      </c>
      <c r="D173" s="248"/>
      <c r="E173" s="248">
        <f t="shared" si="6"/>
        <v>0</v>
      </c>
      <c r="F173" s="248"/>
      <c r="J173" s="549"/>
      <c r="K173" s="549"/>
    </row>
    <row r="174" spans="1:11" s="548" customFormat="1" ht="39" customHeight="1">
      <c r="A174" s="547" t="s">
        <v>624</v>
      </c>
      <c r="B174" s="546" t="s">
        <v>913</v>
      </c>
      <c r="C174" s="546" t="s">
        <v>914</v>
      </c>
      <c r="D174" s="343">
        <f>SUM(D175:D187)+D211+D212+D214+D216+D217+D219+D218</f>
        <v>192677.30299999999</v>
      </c>
      <c r="E174" s="343">
        <f>SUM(E175:E187)+E211+E212+E214+E216+E217+E219+E218</f>
        <v>12281.9</v>
      </c>
      <c r="F174" s="343">
        <f>SUM(F175:F187)+F211+F212+F214+F216+F217+F219+F218</f>
        <v>204959.20299999998</v>
      </c>
      <c r="G174" s="549"/>
      <c r="J174" s="549"/>
      <c r="K174" s="549"/>
    </row>
    <row r="175" spans="1:11" s="548" customFormat="1" ht="33" customHeight="1">
      <c r="A175" s="547" t="s">
        <v>270</v>
      </c>
      <c r="B175" s="546" t="s">
        <v>915</v>
      </c>
      <c r="C175" s="546" t="s">
        <v>916</v>
      </c>
      <c r="D175" s="248">
        <f>10564.1+3910</f>
        <v>14474.1</v>
      </c>
      <c r="E175" s="248">
        <f t="shared" ref="E175:E186" si="7">F175-D175</f>
        <v>1300</v>
      </c>
      <c r="F175" s="248">
        <f>10564.1+3910+1300</f>
        <v>15774.1</v>
      </c>
      <c r="G175" s="250"/>
      <c r="J175" s="549"/>
      <c r="K175" s="549"/>
    </row>
    <row r="176" spans="1:11" s="548" customFormat="1" ht="54" customHeight="1">
      <c r="A176" s="547" t="s">
        <v>270</v>
      </c>
      <c r="B176" s="546" t="s">
        <v>917</v>
      </c>
      <c r="C176" s="546" t="s">
        <v>918</v>
      </c>
      <c r="D176" s="248">
        <f>175.8</f>
        <v>175.8</v>
      </c>
      <c r="E176" s="248">
        <f t="shared" si="7"/>
        <v>0</v>
      </c>
      <c r="F176" s="248">
        <f>175.8</f>
        <v>175.8</v>
      </c>
      <c r="J176" s="549"/>
      <c r="K176" s="549"/>
    </row>
    <row r="177" spans="1:11" s="548" customFormat="1" ht="65.25" customHeight="1">
      <c r="A177" s="547" t="s">
        <v>270</v>
      </c>
      <c r="B177" s="546" t="s">
        <v>919</v>
      </c>
      <c r="C177" s="546" t="s">
        <v>920</v>
      </c>
      <c r="D177" s="248">
        <v>115</v>
      </c>
      <c r="E177" s="248">
        <f t="shared" si="7"/>
        <v>13.900000000000006</v>
      </c>
      <c r="F177" s="248">
        <f>115+13.9</f>
        <v>128.9</v>
      </c>
      <c r="J177" s="549"/>
      <c r="K177" s="549"/>
    </row>
    <row r="178" spans="1:11" s="548" customFormat="1" ht="103.5" hidden="1" customHeight="1">
      <c r="A178" s="547" t="s">
        <v>270</v>
      </c>
      <c r="B178" s="546" t="s">
        <v>921</v>
      </c>
      <c r="C178" s="546" t="s">
        <v>922</v>
      </c>
      <c r="D178" s="248">
        <v>0</v>
      </c>
      <c r="E178" s="248">
        <f t="shared" si="7"/>
        <v>0</v>
      </c>
      <c r="F178" s="248">
        <v>0</v>
      </c>
      <c r="J178" s="549"/>
      <c r="K178" s="549"/>
    </row>
    <row r="179" spans="1:11" s="548" customFormat="1" ht="75" hidden="1" customHeight="1">
      <c r="A179" s="547" t="s">
        <v>270</v>
      </c>
      <c r="B179" s="546" t="s">
        <v>923</v>
      </c>
      <c r="C179" s="546" t="s">
        <v>924</v>
      </c>
      <c r="D179" s="248"/>
      <c r="E179" s="248">
        <f t="shared" si="7"/>
        <v>0</v>
      </c>
      <c r="F179" s="248"/>
      <c r="J179" s="549"/>
      <c r="K179" s="549"/>
    </row>
    <row r="180" spans="1:11" s="548" customFormat="1" ht="65.25" hidden="1" customHeight="1">
      <c r="A180" s="547" t="s">
        <v>270</v>
      </c>
      <c r="B180" s="546" t="s">
        <v>925</v>
      </c>
      <c r="C180" s="546" t="s">
        <v>926</v>
      </c>
      <c r="D180" s="248"/>
      <c r="E180" s="248">
        <f t="shared" si="7"/>
        <v>0</v>
      </c>
      <c r="F180" s="248"/>
      <c r="J180" s="549"/>
      <c r="K180" s="549"/>
    </row>
    <row r="181" spans="1:11" s="548" customFormat="1" ht="67.5" customHeight="1">
      <c r="A181" s="547" t="s">
        <v>270</v>
      </c>
      <c r="B181" s="546" t="s">
        <v>927</v>
      </c>
      <c r="C181" s="546" t="s">
        <v>928</v>
      </c>
      <c r="D181" s="248">
        <v>230</v>
      </c>
      <c r="E181" s="248">
        <f t="shared" si="7"/>
        <v>0</v>
      </c>
      <c r="F181" s="248">
        <v>230</v>
      </c>
      <c r="J181" s="549"/>
      <c r="K181" s="549"/>
    </row>
    <row r="182" spans="1:11" s="548" customFormat="1" ht="51.75" customHeight="1">
      <c r="A182" s="547" t="s">
        <v>270</v>
      </c>
      <c r="B182" s="546" t="s">
        <v>929</v>
      </c>
      <c r="C182" s="546" t="s">
        <v>930</v>
      </c>
      <c r="D182" s="248">
        <v>541.5</v>
      </c>
      <c r="E182" s="248">
        <f t="shared" si="7"/>
        <v>0</v>
      </c>
      <c r="F182" s="248">
        <v>541.5</v>
      </c>
      <c r="J182" s="549"/>
      <c r="K182" s="549"/>
    </row>
    <row r="183" spans="1:11" s="548" customFormat="1" ht="60" hidden="1" customHeight="1">
      <c r="A183" s="547" t="s">
        <v>270</v>
      </c>
      <c r="B183" s="546" t="s">
        <v>1211</v>
      </c>
      <c r="C183" s="546" t="s">
        <v>931</v>
      </c>
      <c r="D183" s="248"/>
      <c r="E183" s="248">
        <f t="shared" si="7"/>
        <v>0</v>
      </c>
      <c r="F183" s="248"/>
      <c r="J183" s="549"/>
      <c r="K183" s="549"/>
    </row>
    <row r="184" spans="1:11" s="548" customFormat="1" ht="60" hidden="1" customHeight="1">
      <c r="A184" s="547" t="s">
        <v>270</v>
      </c>
      <c r="B184" s="546" t="s">
        <v>932</v>
      </c>
      <c r="C184" s="546" t="s">
        <v>933</v>
      </c>
      <c r="D184" s="248"/>
      <c r="E184" s="248">
        <f t="shared" si="7"/>
        <v>0</v>
      </c>
      <c r="F184" s="248"/>
      <c r="J184" s="549"/>
      <c r="K184" s="549"/>
    </row>
    <row r="185" spans="1:11" s="548" customFormat="1" ht="45" customHeight="1">
      <c r="A185" s="547" t="s">
        <v>270</v>
      </c>
      <c r="B185" s="546" t="s">
        <v>934</v>
      </c>
      <c r="C185" s="546" t="s">
        <v>935</v>
      </c>
      <c r="D185" s="248">
        <f>870+1715</f>
        <v>2585</v>
      </c>
      <c r="E185" s="248">
        <f t="shared" si="7"/>
        <v>0</v>
      </c>
      <c r="F185" s="248">
        <f>870+1715</f>
        <v>2585</v>
      </c>
      <c r="J185" s="549"/>
      <c r="K185" s="549"/>
    </row>
    <row r="186" spans="1:11" s="548" customFormat="1" ht="47.25" customHeight="1">
      <c r="A186" s="547" t="s">
        <v>270</v>
      </c>
      <c r="B186" s="546" t="s">
        <v>936</v>
      </c>
      <c r="C186" s="546" t="s">
        <v>937</v>
      </c>
      <c r="D186" s="248">
        <v>8129.1</v>
      </c>
      <c r="E186" s="248">
        <f t="shared" si="7"/>
        <v>0</v>
      </c>
      <c r="F186" s="248">
        <v>8129.1</v>
      </c>
      <c r="J186" s="549"/>
      <c r="K186" s="549"/>
    </row>
    <row r="187" spans="1:11" s="550" customFormat="1" ht="42.75" customHeight="1">
      <c r="A187" s="547" t="s">
        <v>270</v>
      </c>
      <c r="B187" s="546" t="s">
        <v>938</v>
      </c>
      <c r="C187" s="546" t="s">
        <v>939</v>
      </c>
      <c r="D187" s="248">
        <f>SUM(D195:D210)</f>
        <v>142289.90299999999</v>
      </c>
      <c r="E187" s="248">
        <f>SUM(E195:E210)</f>
        <v>4961.5</v>
      </c>
      <c r="F187" s="462">
        <f>SUM(F195:F210)</f>
        <v>147251.40299999999</v>
      </c>
      <c r="G187" s="250"/>
      <c r="J187" s="549"/>
      <c r="K187" s="549"/>
    </row>
    <row r="188" spans="1:11" s="548" customFormat="1" ht="75" hidden="1" customHeight="1">
      <c r="A188" s="547" t="s">
        <v>270</v>
      </c>
      <c r="B188" s="546" t="s">
        <v>940</v>
      </c>
      <c r="C188" s="546" t="s">
        <v>941</v>
      </c>
      <c r="D188" s="248"/>
      <c r="E188" s="248">
        <f t="shared" ref="E188:E219" si="8">F188-D188</f>
        <v>0</v>
      </c>
      <c r="F188" s="248"/>
      <c r="G188" s="250"/>
      <c r="J188" s="549"/>
      <c r="K188" s="549"/>
    </row>
    <row r="189" spans="1:11" s="548" customFormat="1" ht="75" hidden="1" customHeight="1">
      <c r="A189" s="547" t="s">
        <v>270</v>
      </c>
      <c r="B189" s="546" t="s">
        <v>940</v>
      </c>
      <c r="C189" s="546" t="s">
        <v>942</v>
      </c>
      <c r="D189" s="248"/>
      <c r="E189" s="248">
        <f t="shared" si="8"/>
        <v>0</v>
      </c>
      <c r="F189" s="248"/>
      <c r="G189" s="250"/>
      <c r="J189" s="549"/>
      <c r="K189" s="549"/>
    </row>
    <row r="190" spans="1:11" s="548" customFormat="1" ht="90" hidden="1" customHeight="1">
      <c r="A190" s="547" t="s">
        <v>270</v>
      </c>
      <c r="B190" s="546" t="s">
        <v>940</v>
      </c>
      <c r="C190" s="546" t="s">
        <v>943</v>
      </c>
      <c r="D190" s="248"/>
      <c r="E190" s="248">
        <f t="shared" si="8"/>
        <v>0</v>
      </c>
      <c r="F190" s="248"/>
      <c r="G190" s="250"/>
      <c r="J190" s="549"/>
      <c r="K190" s="549"/>
    </row>
    <row r="191" spans="1:11" s="548" customFormat="1" ht="51.75" hidden="1" customHeight="1">
      <c r="A191" s="547" t="s">
        <v>270</v>
      </c>
      <c r="B191" s="546" t="s">
        <v>940</v>
      </c>
      <c r="C191" s="546" t="s">
        <v>944</v>
      </c>
      <c r="D191" s="248"/>
      <c r="E191" s="248">
        <f t="shared" si="8"/>
        <v>0</v>
      </c>
      <c r="F191" s="248"/>
      <c r="G191" s="250"/>
      <c r="J191" s="549"/>
      <c r="K191" s="549"/>
    </row>
    <row r="192" spans="1:11" s="548" customFormat="1" ht="90" hidden="1" customHeight="1">
      <c r="A192" s="547" t="s">
        <v>270</v>
      </c>
      <c r="B192" s="546" t="s">
        <v>940</v>
      </c>
      <c r="C192" s="546" t="s">
        <v>902</v>
      </c>
      <c r="D192" s="248"/>
      <c r="E192" s="248">
        <f t="shared" si="8"/>
        <v>0</v>
      </c>
      <c r="F192" s="248"/>
      <c r="G192" s="250"/>
      <c r="J192" s="549"/>
      <c r="K192" s="549"/>
    </row>
    <row r="193" spans="1:11" s="548" customFormat="1" ht="60" hidden="1" customHeight="1">
      <c r="A193" s="547" t="s">
        <v>270</v>
      </c>
      <c r="B193" s="546" t="s">
        <v>940</v>
      </c>
      <c r="C193" s="546" t="s">
        <v>896</v>
      </c>
      <c r="D193" s="248"/>
      <c r="E193" s="248">
        <f t="shared" si="8"/>
        <v>0</v>
      </c>
      <c r="F193" s="248"/>
      <c r="G193" s="250"/>
      <c r="J193" s="549"/>
      <c r="K193" s="549"/>
    </row>
    <row r="194" spans="1:11" s="548" customFormat="1" ht="60" hidden="1" customHeight="1">
      <c r="A194" s="547" t="s">
        <v>270</v>
      </c>
      <c r="B194" s="546" t="s">
        <v>940</v>
      </c>
      <c r="C194" s="546" t="s">
        <v>945</v>
      </c>
      <c r="D194" s="248"/>
      <c r="E194" s="248">
        <f t="shared" si="8"/>
        <v>0</v>
      </c>
      <c r="F194" s="248"/>
      <c r="G194" s="250"/>
      <c r="J194" s="549"/>
      <c r="K194" s="549"/>
    </row>
    <row r="195" spans="1:11" s="548" customFormat="1" ht="70.5" customHeight="1">
      <c r="A195" s="547"/>
      <c r="B195" s="546"/>
      <c r="C195" s="546" t="s">
        <v>946</v>
      </c>
      <c r="D195" s="248">
        <v>413</v>
      </c>
      <c r="E195" s="248">
        <f t="shared" si="8"/>
        <v>0</v>
      </c>
      <c r="F195" s="248">
        <v>413</v>
      </c>
      <c r="G195" s="250"/>
      <c r="J195" s="549"/>
      <c r="K195" s="549"/>
    </row>
    <row r="196" spans="1:11" s="548" customFormat="1" ht="101.25" customHeight="1">
      <c r="A196" s="547"/>
      <c r="B196" s="546"/>
      <c r="C196" s="546" t="s">
        <v>947</v>
      </c>
      <c r="D196" s="248">
        <v>1050</v>
      </c>
      <c r="E196" s="248">
        <f t="shared" si="8"/>
        <v>5.7000000000000455</v>
      </c>
      <c r="F196" s="248">
        <v>1055.7</v>
      </c>
      <c r="J196" s="549"/>
      <c r="K196" s="549"/>
    </row>
    <row r="197" spans="1:11" s="548" customFormat="1" ht="107.25" customHeight="1">
      <c r="A197" s="547"/>
      <c r="B197" s="546"/>
      <c r="C197" s="546" t="s">
        <v>948</v>
      </c>
      <c r="D197" s="248">
        <v>8051.2</v>
      </c>
      <c r="E197" s="248">
        <f t="shared" si="8"/>
        <v>276.30000000000018</v>
      </c>
      <c r="F197" s="248">
        <v>8327.5</v>
      </c>
      <c r="J197" s="549"/>
      <c r="K197" s="549"/>
    </row>
    <row r="198" spans="1:11" s="548" customFormat="1" ht="42.75" customHeight="1">
      <c r="A198" s="547"/>
      <c r="B198" s="546"/>
      <c r="C198" s="546" t="s">
        <v>949</v>
      </c>
      <c r="D198" s="248">
        <v>0.5</v>
      </c>
      <c r="E198" s="248">
        <f t="shared" si="8"/>
        <v>0</v>
      </c>
      <c r="F198" s="248">
        <v>0.5</v>
      </c>
      <c r="J198" s="549"/>
      <c r="K198" s="549"/>
    </row>
    <row r="199" spans="1:11" s="548" customFormat="1" ht="94.5" customHeight="1">
      <c r="A199" s="547"/>
      <c r="B199" s="546"/>
      <c r="C199" s="546" t="s">
        <v>950</v>
      </c>
      <c r="D199" s="248">
        <v>107914.7</v>
      </c>
      <c r="E199" s="248">
        <f t="shared" si="8"/>
        <v>4679.5</v>
      </c>
      <c r="F199" s="248">
        <v>112594.2</v>
      </c>
      <c r="J199" s="549"/>
      <c r="K199" s="549"/>
    </row>
    <row r="200" spans="1:11" s="548" customFormat="1" ht="80.25" customHeight="1">
      <c r="A200" s="547"/>
      <c r="B200" s="546"/>
      <c r="C200" s="546" t="s">
        <v>951</v>
      </c>
      <c r="D200" s="248">
        <v>721</v>
      </c>
      <c r="E200" s="248">
        <f t="shared" si="8"/>
        <v>0</v>
      </c>
      <c r="F200" s="248">
        <v>721</v>
      </c>
      <c r="J200" s="549"/>
      <c r="K200" s="549"/>
    </row>
    <row r="201" spans="1:11" s="548" customFormat="1" ht="57" hidden="1" customHeight="1">
      <c r="A201" s="547"/>
      <c r="B201" s="546"/>
      <c r="C201" s="546" t="s">
        <v>952</v>
      </c>
      <c r="D201" s="248"/>
      <c r="E201" s="248">
        <f t="shared" si="8"/>
        <v>0</v>
      </c>
      <c r="F201" s="248"/>
      <c r="J201" s="549"/>
      <c r="K201" s="549"/>
    </row>
    <row r="202" spans="1:11" s="548" customFormat="1" ht="39" customHeight="1">
      <c r="A202" s="547"/>
      <c r="B202" s="546"/>
      <c r="C202" s="546" t="s">
        <v>953</v>
      </c>
      <c r="D202" s="248">
        <v>327</v>
      </c>
      <c r="E202" s="248">
        <f t="shared" si="8"/>
        <v>0</v>
      </c>
      <c r="F202" s="248">
        <v>327</v>
      </c>
      <c r="J202" s="549"/>
      <c r="K202" s="549"/>
    </row>
    <row r="203" spans="1:11" s="548" customFormat="1" ht="41.25" customHeight="1">
      <c r="A203" s="547"/>
      <c r="B203" s="546"/>
      <c r="C203" s="546" t="s">
        <v>954</v>
      </c>
      <c r="D203" s="248">
        <v>897</v>
      </c>
      <c r="E203" s="248">
        <f t="shared" si="8"/>
        <v>0</v>
      </c>
      <c r="F203" s="248">
        <v>897</v>
      </c>
      <c r="J203" s="549"/>
      <c r="K203" s="549"/>
    </row>
    <row r="204" spans="1:11" s="548" customFormat="1" ht="52.5" customHeight="1">
      <c r="A204" s="547"/>
      <c r="B204" s="546"/>
      <c r="C204" s="546" t="s">
        <v>955</v>
      </c>
      <c r="D204" s="248">
        <v>7042</v>
      </c>
      <c r="E204" s="248">
        <f t="shared" si="8"/>
        <v>0</v>
      </c>
      <c r="F204" s="248">
        <v>7042</v>
      </c>
      <c r="J204" s="549"/>
      <c r="K204" s="549"/>
    </row>
    <row r="205" spans="1:11" s="548" customFormat="1" ht="43.5" customHeight="1">
      <c r="A205" s="547"/>
      <c r="B205" s="546"/>
      <c r="C205" s="546" t="s">
        <v>956</v>
      </c>
      <c r="D205" s="248">
        <v>3840</v>
      </c>
      <c r="E205" s="248">
        <f t="shared" si="8"/>
        <v>0</v>
      </c>
      <c r="F205" s="248">
        <v>3840</v>
      </c>
      <c r="J205" s="549"/>
      <c r="K205" s="549"/>
    </row>
    <row r="206" spans="1:11" s="548" customFormat="1" ht="37.5" customHeight="1">
      <c r="A206" s="547"/>
      <c r="B206" s="546"/>
      <c r="C206" s="546" t="s">
        <v>957</v>
      </c>
      <c r="D206" s="248">
        <f>7021</f>
        <v>7021</v>
      </c>
      <c r="E206" s="248">
        <f t="shared" si="8"/>
        <v>0</v>
      </c>
      <c r="F206" s="248">
        <f>7021</f>
        <v>7021</v>
      </c>
      <c r="J206" s="549"/>
      <c r="K206" s="549"/>
    </row>
    <row r="207" spans="1:11" s="548" customFormat="1" ht="59.25" customHeight="1">
      <c r="A207" s="547"/>
      <c r="B207" s="546"/>
      <c r="C207" s="546" t="s">
        <v>1166</v>
      </c>
      <c r="D207" s="248">
        <v>856.20299999999997</v>
      </c>
      <c r="E207" s="248">
        <f t="shared" si="8"/>
        <v>0</v>
      </c>
      <c r="F207" s="248">
        <v>856.20299999999997</v>
      </c>
      <c r="J207" s="549"/>
      <c r="K207" s="549"/>
    </row>
    <row r="208" spans="1:11" s="548" customFormat="1" ht="36.75" customHeight="1">
      <c r="A208" s="547"/>
      <c r="B208" s="546"/>
      <c r="C208" s="546" t="s">
        <v>958</v>
      </c>
      <c r="D208" s="248">
        <v>2592</v>
      </c>
      <c r="E208" s="248">
        <f t="shared" si="8"/>
        <v>0</v>
      </c>
      <c r="F208" s="248">
        <v>2592</v>
      </c>
      <c r="J208" s="549"/>
      <c r="K208" s="549"/>
    </row>
    <row r="209" spans="1:11" s="548" customFormat="1" ht="57.75" customHeight="1">
      <c r="A209" s="547"/>
      <c r="B209" s="546"/>
      <c r="C209" s="546" t="s">
        <v>959</v>
      </c>
      <c r="D209" s="248">
        <v>54.3</v>
      </c>
      <c r="E209" s="248">
        <f t="shared" si="8"/>
        <v>0</v>
      </c>
      <c r="F209" s="248">
        <v>54.3</v>
      </c>
      <c r="J209" s="549"/>
      <c r="K209" s="549"/>
    </row>
    <row r="210" spans="1:11" s="548" customFormat="1" ht="30">
      <c r="A210" s="547"/>
      <c r="B210" s="546"/>
      <c r="C210" s="546" t="s">
        <v>960</v>
      </c>
      <c r="D210" s="248">
        <v>1510</v>
      </c>
      <c r="E210" s="248">
        <f t="shared" si="8"/>
        <v>0</v>
      </c>
      <c r="F210" s="248">
        <v>1510</v>
      </c>
      <c r="J210" s="549"/>
      <c r="K210" s="549"/>
    </row>
    <row r="211" spans="1:11" s="548" customFormat="1" ht="74.25" customHeight="1">
      <c r="A211" s="547" t="s">
        <v>270</v>
      </c>
      <c r="B211" s="546" t="s">
        <v>961</v>
      </c>
      <c r="C211" s="546" t="s">
        <v>962</v>
      </c>
      <c r="D211" s="248">
        <v>3419</v>
      </c>
      <c r="E211" s="248">
        <f t="shared" si="8"/>
        <v>6006.5</v>
      </c>
      <c r="F211" s="248">
        <v>9425.5</v>
      </c>
      <c r="J211" s="549"/>
      <c r="K211" s="549"/>
    </row>
    <row r="212" spans="1:11" s="548" customFormat="1" ht="65.25" customHeight="1">
      <c r="A212" s="547" t="s">
        <v>270</v>
      </c>
      <c r="B212" s="546" t="s">
        <v>963</v>
      </c>
      <c r="C212" s="546" t="s">
        <v>964</v>
      </c>
      <c r="D212" s="248">
        <v>11370.3</v>
      </c>
      <c r="E212" s="248">
        <f t="shared" si="8"/>
        <v>0</v>
      </c>
      <c r="F212" s="248">
        <v>11370.3</v>
      </c>
      <c r="J212" s="549"/>
      <c r="K212" s="549"/>
    </row>
    <row r="213" spans="1:11" s="548" customFormat="1" ht="60.75" hidden="1" customHeight="1">
      <c r="A213" s="547" t="s">
        <v>270</v>
      </c>
      <c r="B213" s="546" t="s">
        <v>965</v>
      </c>
      <c r="C213" s="546" t="s">
        <v>966</v>
      </c>
      <c r="D213" s="248"/>
      <c r="E213" s="248">
        <f t="shared" si="8"/>
        <v>0</v>
      </c>
      <c r="F213" s="248"/>
      <c r="J213" s="549"/>
      <c r="K213" s="549"/>
    </row>
    <row r="214" spans="1:11" s="548" customFormat="1" ht="96.75" customHeight="1">
      <c r="A214" s="547" t="s">
        <v>270</v>
      </c>
      <c r="B214" s="546" t="s">
        <v>967</v>
      </c>
      <c r="C214" s="546" t="s">
        <v>968</v>
      </c>
      <c r="D214" s="248">
        <v>1403.9</v>
      </c>
      <c r="E214" s="248">
        <f t="shared" si="8"/>
        <v>0</v>
      </c>
      <c r="F214" s="248">
        <v>1403.9</v>
      </c>
      <c r="J214" s="549"/>
      <c r="K214" s="549"/>
    </row>
    <row r="215" spans="1:11" s="548" customFormat="1" ht="168.75" hidden="1" customHeight="1">
      <c r="A215" s="547" t="s">
        <v>270</v>
      </c>
      <c r="B215" s="546" t="s">
        <v>969</v>
      </c>
      <c r="C215" s="546" t="s">
        <v>970</v>
      </c>
      <c r="D215" s="248"/>
      <c r="E215" s="248">
        <f t="shared" si="8"/>
        <v>0</v>
      </c>
      <c r="F215" s="248"/>
      <c r="J215" s="549"/>
      <c r="K215" s="549"/>
    </row>
    <row r="216" spans="1:11" s="548" customFormat="1" ht="32.25" customHeight="1">
      <c r="A216" s="547" t="s">
        <v>270</v>
      </c>
      <c r="B216" s="546" t="s">
        <v>971</v>
      </c>
      <c r="C216" s="546" t="s">
        <v>972</v>
      </c>
      <c r="D216" s="248">
        <v>2828</v>
      </c>
      <c r="E216" s="248">
        <f t="shared" si="8"/>
        <v>0</v>
      </c>
      <c r="F216" s="248">
        <v>2828</v>
      </c>
      <c r="J216" s="549"/>
      <c r="K216" s="549"/>
    </row>
    <row r="217" spans="1:11" s="548" customFormat="1" ht="166.5" customHeight="1">
      <c r="A217" s="547" t="s">
        <v>270</v>
      </c>
      <c r="B217" s="546" t="s">
        <v>973</v>
      </c>
      <c r="C217" s="546" t="s">
        <v>974</v>
      </c>
      <c r="D217" s="248">
        <v>2883.7</v>
      </c>
      <c r="E217" s="248">
        <f t="shared" si="8"/>
        <v>0</v>
      </c>
      <c r="F217" s="248">
        <v>2883.7</v>
      </c>
      <c r="J217" s="549"/>
      <c r="K217" s="549"/>
    </row>
    <row r="218" spans="1:11" s="548" customFormat="1" ht="108" customHeight="1">
      <c r="A218" s="547" t="s">
        <v>270</v>
      </c>
      <c r="B218" s="546" t="s">
        <v>1167</v>
      </c>
      <c r="C218" s="546" t="s">
        <v>1168</v>
      </c>
      <c r="D218" s="248">
        <v>1116</v>
      </c>
      <c r="E218" s="248">
        <f t="shared" si="8"/>
        <v>0</v>
      </c>
      <c r="F218" s="248">
        <v>1116</v>
      </c>
      <c r="J218" s="549"/>
      <c r="K218" s="549"/>
    </row>
    <row r="219" spans="1:11" s="548" customFormat="1" ht="90.75" customHeight="1">
      <c r="A219" s="547" t="s">
        <v>270</v>
      </c>
      <c r="B219" s="546" t="s">
        <v>975</v>
      </c>
      <c r="C219" s="546" t="s">
        <v>976</v>
      </c>
      <c r="D219" s="248">
        <v>1116</v>
      </c>
      <c r="E219" s="248">
        <f t="shared" si="8"/>
        <v>0</v>
      </c>
      <c r="F219" s="248">
        <v>1116</v>
      </c>
      <c r="J219" s="549"/>
      <c r="K219" s="549"/>
    </row>
    <row r="220" spans="1:11" s="548" customFormat="1" ht="26.25" customHeight="1">
      <c r="A220" s="547" t="s">
        <v>624</v>
      </c>
      <c r="B220" s="546" t="s">
        <v>1210</v>
      </c>
      <c r="C220" s="546" t="s">
        <v>6</v>
      </c>
      <c r="D220" s="248">
        <f>SUM(D221:D223)</f>
        <v>58998.6</v>
      </c>
      <c r="E220" s="248">
        <f>SUM(E221:E223)</f>
        <v>4060.6</v>
      </c>
      <c r="F220" s="248">
        <f>SUM(F221:F223)</f>
        <v>63059.199999999997</v>
      </c>
      <c r="J220" s="549"/>
      <c r="K220" s="549"/>
    </row>
    <row r="221" spans="1:11" s="548" customFormat="1" ht="80.25" customHeight="1">
      <c r="A221" s="547" t="s">
        <v>270</v>
      </c>
      <c r="B221" s="546" t="s">
        <v>1169</v>
      </c>
      <c r="C221" s="546" t="s">
        <v>1170</v>
      </c>
      <c r="D221" s="248">
        <v>598.6</v>
      </c>
      <c r="E221" s="248">
        <f>F221-D221</f>
        <v>60.600000000000023</v>
      </c>
      <c r="F221" s="248">
        <f>598.6+60.6</f>
        <v>659.2</v>
      </c>
      <c r="J221" s="549"/>
      <c r="K221" s="549"/>
    </row>
    <row r="222" spans="1:11" s="548" customFormat="1" ht="79.5" customHeight="1">
      <c r="A222" s="547" t="s">
        <v>270</v>
      </c>
      <c r="B222" s="546" t="s">
        <v>1171</v>
      </c>
      <c r="C222" s="546" t="s">
        <v>1172</v>
      </c>
      <c r="D222" s="248">
        <v>58400</v>
      </c>
      <c r="E222" s="248">
        <f>F222-D222</f>
        <v>0</v>
      </c>
      <c r="F222" s="248">
        <v>58400</v>
      </c>
      <c r="J222" s="549"/>
      <c r="K222" s="549"/>
    </row>
    <row r="223" spans="1:11" s="548" customFormat="1" ht="37.5" customHeight="1">
      <c r="A223" s="547" t="s">
        <v>270</v>
      </c>
      <c r="B223" s="546" t="s">
        <v>1209</v>
      </c>
      <c r="C223" s="546" t="s">
        <v>1208</v>
      </c>
      <c r="D223" s="248"/>
      <c r="E223" s="248">
        <f>F223-D223</f>
        <v>4000</v>
      </c>
      <c r="F223" s="248">
        <v>4000</v>
      </c>
      <c r="J223" s="549"/>
      <c r="K223" s="549"/>
    </row>
    <row r="224" spans="1:11" s="548" customFormat="1" ht="58.5" customHeight="1">
      <c r="A224" s="547" t="s">
        <v>270</v>
      </c>
      <c r="B224" s="546" t="s">
        <v>977</v>
      </c>
      <c r="C224" s="546" t="s">
        <v>978</v>
      </c>
      <c r="D224" s="248">
        <v>84.368899999999996</v>
      </c>
      <c r="E224" s="248">
        <f>F224-D224</f>
        <v>0</v>
      </c>
      <c r="F224" s="248">
        <v>84.368899999999996</v>
      </c>
      <c r="J224" s="549"/>
      <c r="K224" s="549"/>
    </row>
    <row r="225" spans="1:19" s="548" customFormat="1" ht="66.75" customHeight="1">
      <c r="A225" s="547" t="s">
        <v>270</v>
      </c>
      <c r="B225" s="546" t="s">
        <v>979</v>
      </c>
      <c r="C225" s="546" t="s">
        <v>878</v>
      </c>
      <c r="D225" s="248">
        <v>-1258.0241799999999</v>
      </c>
      <c r="E225" s="248">
        <f>F225-D225</f>
        <v>0</v>
      </c>
      <c r="F225" s="248">
        <v>-1258.0241799999999</v>
      </c>
      <c r="G225" s="549"/>
      <c r="J225" s="549"/>
      <c r="K225" s="549"/>
    </row>
    <row r="226" spans="1:19" s="545" customFormat="1">
      <c r="A226" s="547"/>
      <c r="B226" s="546"/>
      <c r="C226" s="546" t="s">
        <v>980</v>
      </c>
      <c r="D226" s="248">
        <f>D10+D143</f>
        <v>550472.57629999996</v>
      </c>
      <c r="E226" s="248">
        <f>E10+E143</f>
        <v>61254.748119999989</v>
      </c>
      <c r="F226" s="248">
        <f>F10+F143</f>
        <v>611727.32441999996</v>
      </c>
      <c r="G226" s="531">
        <v>407598.06</v>
      </c>
      <c r="H226" s="531">
        <f>G226+F225-F224</f>
        <v>406255.66691999999</v>
      </c>
      <c r="J226" s="531"/>
      <c r="K226" s="531"/>
      <c r="L226" s="531"/>
    </row>
    <row r="227" spans="1:19" s="545" customFormat="1" ht="20.25" customHeight="1">
      <c r="A227" s="547"/>
      <c r="B227" s="546"/>
      <c r="C227" s="546" t="s">
        <v>981</v>
      </c>
      <c r="D227" s="248">
        <f>D10</f>
        <v>70730.938580000002</v>
      </c>
      <c r="E227" s="248">
        <f>F227-D227</f>
        <v>1594.1871200000023</v>
      </c>
      <c r="F227" s="248">
        <f>F10</f>
        <v>72325.125700000004</v>
      </c>
      <c r="G227" s="531"/>
      <c r="J227" s="531"/>
      <c r="K227" s="531"/>
    </row>
    <row r="228" spans="1:19" hidden="1">
      <c r="A228" s="251"/>
      <c r="B228" s="543"/>
      <c r="C228" s="542" t="s">
        <v>982</v>
      </c>
      <c r="D228" s="248"/>
      <c r="E228" s="248">
        <f>F228-D228</f>
        <v>0</v>
      </c>
      <c r="F228" s="248"/>
      <c r="J228" s="526"/>
      <c r="K228" s="531"/>
    </row>
    <row r="229" spans="1:19" hidden="1">
      <c r="A229" s="251"/>
      <c r="B229" s="543"/>
      <c r="C229" s="542" t="s">
        <v>983</v>
      </c>
      <c r="D229" s="252"/>
      <c r="E229" s="248">
        <f>F229-D229</f>
        <v>0</v>
      </c>
      <c r="F229" s="252"/>
      <c r="G229" s="526">
        <f>F229+F225-F224</f>
        <v>-1342.3930799999998</v>
      </c>
      <c r="J229" s="528"/>
      <c r="K229" s="531"/>
      <c r="L229" s="526" t="e">
        <f>#REF!--121312.97</f>
        <v>#REF!</v>
      </c>
    </row>
    <row r="230" spans="1:19" ht="30" hidden="1">
      <c r="A230" s="251"/>
      <c r="B230" s="543"/>
      <c r="C230" s="544" t="s">
        <v>984</v>
      </c>
      <c r="D230" s="248">
        <v>0</v>
      </c>
      <c r="E230" s="248">
        <f>F230-D230</f>
        <v>0</v>
      </c>
      <c r="F230" s="248">
        <v>0</v>
      </c>
      <c r="G230" s="526"/>
      <c r="K230" s="531"/>
      <c r="L230" s="522">
        <v>15039.66</v>
      </c>
      <c r="M230" s="528">
        <f>L231-F231</f>
        <v>-611727.32441999996</v>
      </c>
    </row>
    <row r="231" spans="1:19" hidden="1">
      <c r="A231" s="251"/>
      <c r="B231" s="543"/>
      <c r="C231" s="542" t="s">
        <v>985</v>
      </c>
      <c r="D231" s="541">
        <f>D226+D228-D230</f>
        <v>550472.57629999996</v>
      </c>
      <c r="E231" s="248">
        <f>F231-D231</f>
        <v>61254.748120000004</v>
      </c>
      <c r="F231" s="541">
        <f>F226+F228-F230</f>
        <v>611727.32441999996</v>
      </c>
      <c r="G231" s="522" t="s">
        <v>1207</v>
      </c>
      <c r="H231" s="526"/>
      <c r="J231" s="526"/>
      <c r="K231" s="531"/>
      <c r="L231" s="540"/>
      <c r="M231" s="528"/>
      <c r="N231" s="528"/>
    </row>
    <row r="232" spans="1:19" ht="15" hidden="1" customHeight="1">
      <c r="A232" s="538"/>
      <c r="B232" s="524"/>
      <c r="C232" s="534"/>
      <c r="D232" s="537"/>
      <c r="E232" s="537"/>
      <c r="F232" s="539"/>
      <c r="G232" s="532"/>
      <c r="H232" s="532"/>
      <c r="I232" s="532"/>
      <c r="J232" s="532"/>
      <c r="K232" s="531"/>
      <c r="L232" s="532"/>
      <c r="M232" s="532"/>
      <c r="N232" s="532"/>
      <c r="O232" s="532"/>
      <c r="P232" s="532"/>
      <c r="Q232" s="532"/>
      <c r="R232" s="532"/>
      <c r="S232" s="532"/>
    </row>
    <row r="233" spans="1:19" ht="15" hidden="1" customHeight="1">
      <c r="A233" s="538"/>
      <c r="B233" s="524"/>
      <c r="C233" s="534"/>
      <c r="D233" s="537"/>
      <c r="E233" s="537">
        <f>E227-463.68</f>
        <v>1130.5071200000023</v>
      </c>
      <c r="F233" s="533" t="e">
        <f>#REF!-F231</f>
        <v>#REF!</v>
      </c>
      <c r="G233" s="532"/>
      <c r="H233" s="532"/>
      <c r="I233" s="532"/>
      <c r="J233" s="532"/>
      <c r="K233" s="531"/>
      <c r="L233" s="532"/>
      <c r="M233" s="532"/>
      <c r="N233" s="532"/>
      <c r="O233" s="532"/>
      <c r="P233" s="532"/>
      <c r="Q233" s="532"/>
      <c r="R233" s="532"/>
      <c r="S233" s="532"/>
    </row>
    <row r="234" spans="1:19" ht="15" hidden="1" customHeight="1">
      <c r="A234" s="535"/>
      <c r="B234" s="524"/>
      <c r="C234" s="534"/>
      <c r="D234" s="534"/>
      <c r="E234" s="536"/>
      <c r="F234" s="533"/>
      <c r="G234" s="532"/>
      <c r="H234" s="532"/>
      <c r="I234" s="532"/>
      <c r="J234" s="532"/>
      <c r="K234" s="531"/>
      <c r="L234" s="532"/>
      <c r="M234" s="532"/>
      <c r="N234" s="532"/>
      <c r="O234" s="532"/>
      <c r="P234" s="532"/>
      <c r="Q234" s="532"/>
      <c r="R234" s="532"/>
      <c r="S234" s="532"/>
    </row>
    <row r="235" spans="1:19" ht="15" hidden="1" customHeight="1">
      <c r="A235" s="535"/>
      <c r="B235" s="524"/>
      <c r="C235" s="534"/>
      <c r="D235" s="534"/>
      <c r="E235" s="534">
        <v>2524.4</v>
      </c>
      <c r="F235" s="533">
        <f>E227-E235</f>
        <v>-930.21287999999777</v>
      </c>
      <c r="G235" s="532"/>
      <c r="H235" s="532"/>
      <c r="I235" s="532"/>
      <c r="J235" s="532"/>
      <c r="K235" s="531"/>
      <c r="L235" s="532"/>
      <c r="M235" s="532"/>
      <c r="N235" s="532"/>
      <c r="O235" s="532"/>
      <c r="P235" s="532"/>
      <c r="Q235" s="532"/>
      <c r="R235" s="532"/>
      <c r="S235" s="532"/>
    </row>
    <row r="236" spans="1:19" ht="15" hidden="1" customHeight="1">
      <c r="B236" s="524"/>
      <c r="C236" s="534"/>
      <c r="D236" s="534"/>
      <c r="E236" s="534">
        <v>7612.56</v>
      </c>
      <c r="F236" s="533">
        <f>E236-E143</f>
        <v>-52048.000999999989</v>
      </c>
      <c r="G236" s="532"/>
      <c r="H236" s="532"/>
      <c r="I236" s="532"/>
      <c r="J236" s="532"/>
      <c r="K236" s="531"/>
      <c r="L236" s="532"/>
      <c r="M236" s="532"/>
      <c r="N236" s="532"/>
      <c r="O236" s="532"/>
      <c r="P236" s="532"/>
      <c r="Q236" s="532"/>
      <c r="R236" s="532"/>
      <c r="S236" s="532"/>
    </row>
    <row r="237" spans="1:19" ht="15" hidden="1" customHeight="1">
      <c r="B237" s="524"/>
      <c r="C237" s="524"/>
      <c r="E237" s="524"/>
      <c r="K237" s="531"/>
    </row>
    <row r="238" spans="1:19" ht="15" hidden="1" customHeight="1">
      <c r="B238" s="524"/>
      <c r="C238" s="524"/>
      <c r="E238" s="524"/>
      <c r="F238" s="526"/>
      <c r="K238" s="531"/>
    </row>
    <row r="239" spans="1:19" ht="15" hidden="1" customHeight="1">
      <c r="B239" s="524"/>
      <c r="C239" s="524"/>
      <c r="E239" s="524"/>
      <c r="K239" s="531"/>
    </row>
    <row r="240" spans="1:19" ht="15" hidden="1" customHeight="1">
      <c r="B240" s="524"/>
      <c r="C240" s="524"/>
      <c r="E240" s="524"/>
      <c r="K240" s="531"/>
    </row>
    <row r="241" spans="2:6" s="522" customFormat="1" hidden="1">
      <c r="B241" s="524"/>
      <c r="C241" s="524"/>
      <c r="D241" s="524"/>
      <c r="E241" s="524"/>
    </row>
    <row r="242" spans="2:6" s="522" customFormat="1" hidden="1">
      <c r="D242" s="524"/>
      <c r="E242" s="527"/>
    </row>
    <row r="243" spans="2:6" s="522" customFormat="1" hidden="1">
      <c r="D243" s="524"/>
      <c r="E243" s="523"/>
    </row>
    <row r="244" spans="2:6" s="522" customFormat="1" hidden="1">
      <c r="D244" s="524"/>
      <c r="E244" s="530"/>
    </row>
    <row r="245" spans="2:6" s="522" customFormat="1" hidden="1">
      <c r="D245" s="529"/>
      <c r="E245" s="530"/>
      <c r="F245" s="528"/>
    </row>
    <row r="246" spans="2:6" s="522" customFormat="1" hidden="1">
      <c r="D246" s="524"/>
      <c r="E246" s="523"/>
    </row>
    <row r="247" spans="2:6" s="522" customFormat="1" hidden="1">
      <c r="D247" s="529"/>
      <c r="E247" s="523"/>
      <c r="F247" s="528"/>
    </row>
    <row r="248" spans="2:6" s="522" customFormat="1" hidden="1">
      <c r="D248" s="524"/>
      <c r="E248" s="523"/>
    </row>
    <row r="249" spans="2:6" s="522" customFormat="1" hidden="1">
      <c r="D249" s="524"/>
      <c r="E249" s="523"/>
    </row>
    <row r="250" spans="2:6" s="522" customFormat="1" hidden="1">
      <c r="D250" s="524"/>
      <c r="E250" s="523"/>
    </row>
    <row r="251" spans="2:6" s="522" customFormat="1" hidden="1">
      <c r="D251" s="524"/>
      <c r="E251" s="523"/>
    </row>
    <row r="252" spans="2:6" s="522" customFormat="1" hidden="1">
      <c r="D252" s="524"/>
      <c r="E252" s="523"/>
    </row>
    <row r="253" spans="2:6" s="522" customFormat="1" hidden="1">
      <c r="D253" s="524"/>
      <c r="E253" s="523"/>
    </row>
    <row r="254" spans="2:6" s="522" customFormat="1" hidden="1">
      <c r="D254" s="524"/>
      <c r="E254" s="523"/>
    </row>
    <row r="255" spans="2:6" s="522" customFormat="1" hidden="1">
      <c r="D255" s="524"/>
      <c r="E255" s="523"/>
    </row>
    <row r="256" spans="2:6" s="522" customFormat="1" hidden="1">
      <c r="D256" s="524"/>
      <c r="E256" s="523"/>
    </row>
    <row r="257" spans="5:6" s="522" customFormat="1" hidden="1">
      <c r="E257" s="523"/>
    </row>
    <row r="258" spans="5:6" s="522" customFormat="1" hidden="1">
      <c r="E258" s="523"/>
    </row>
    <row r="259" spans="5:6" s="522" customFormat="1" hidden="1">
      <c r="E259" s="523"/>
    </row>
    <row r="260" spans="5:6" s="522" customFormat="1" hidden="1">
      <c r="E260" s="523"/>
    </row>
    <row r="261" spans="5:6" s="522" customFormat="1" hidden="1">
      <c r="E261" s="523"/>
    </row>
    <row r="262" spans="5:6" s="522" customFormat="1" hidden="1">
      <c r="E262" s="523"/>
    </row>
    <row r="263" spans="5:6" s="522" customFormat="1" hidden="1">
      <c r="E263" s="523"/>
    </row>
    <row r="264" spans="5:6" s="522" customFormat="1" hidden="1">
      <c r="E264" s="523"/>
    </row>
    <row r="266" spans="5:6" s="522" customFormat="1">
      <c r="E266" s="527"/>
      <c r="F266" s="526"/>
    </row>
    <row r="269" spans="5:6" s="522" customFormat="1">
      <c r="E269" s="523"/>
      <c r="F269" s="526"/>
    </row>
  </sheetData>
  <mergeCells count="4">
    <mergeCell ref="D4:F4"/>
    <mergeCell ref="B6:F6"/>
    <mergeCell ref="D2:F2"/>
    <mergeCell ref="D1:F1"/>
  </mergeCells>
  <pageMargins left="0.74803149606299213" right="0" top="0.35433070866141736" bottom="0.2362204724409449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B2:J83"/>
  <sheetViews>
    <sheetView view="pageBreakPreview" topLeftCell="B1" zoomScaleSheetLayoutView="75" workbookViewId="0">
      <selection activeCell="G8" sqref="G8"/>
    </sheetView>
  </sheetViews>
  <sheetFormatPr defaultRowHeight="15"/>
  <cols>
    <col min="1" max="1" width="6.140625" style="2" customWidth="1"/>
    <col min="2" max="2" width="58.7109375" style="2" customWidth="1"/>
    <col min="3" max="3" width="6.42578125" style="2" customWidth="1"/>
    <col min="4" max="4" width="6" style="2" customWidth="1"/>
    <col min="5" max="5" width="12.5703125" style="2" hidden="1" customWidth="1"/>
    <col min="6" max="6" width="11.85546875" style="2" hidden="1" customWidth="1"/>
    <col min="7" max="7" width="13.5703125" style="2" customWidth="1"/>
    <col min="8" max="8" width="11.85546875" style="2" customWidth="1"/>
    <col min="9" max="9" width="13.5703125" style="2" customWidth="1"/>
    <col min="10" max="10" width="9.42578125" style="2" bestFit="1" customWidth="1"/>
    <col min="11" max="16384" width="9.140625" style="2"/>
  </cols>
  <sheetData>
    <row r="2" spans="2:10" ht="12.75" customHeight="1">
      <c r="B2" s="1"/>
      <c r="C2" s="662" t="s">
        <v>1218</v>
      </c>
      <c r="D2" s="663"/>
      <c r="E2" s="663"/>
      <c r="F2" s="663"/>
      <c r="G2" s="663"/>
      <c r="H2" s="663"/>
      <c r="I2" s="663"/>
    </row>
    <row r="3" spans="2:10" ht="49.5" customHeight="1">
      <c r="B3" s="1"/>
      <c r="C3" s="664" t="s">
        <v>1219</v>
      </c>
      <c r="D3" s="664"/>
      <c r="E3" s="664"/>
      <c r="F3" s="664"/>
      <c r="G3" s="664"/>
      <c r="H3" s="665"/>
      <c r="I3" s="665"/>
    </row>
    <row r="4" spans="2:10" ht="9.75" customHeight="1">
      <c r="B4" s="1"/>
      <c r="C4" s="3"/>
      <c r="D4" s="3"/>
      <c r="E4" s="3"/>
      <c r="F4" s="3"/>
      <c r="G4" s="3"/>
      <c r="H4" s="4"/>
      <c r="I4" s="4"/>
    </row>
    <row r="5" spans="2:10" ht="15.75" customHeight="1">
      <c r="B5" s="666" t="s">
        <v>8</v>
      </c>
      <c r="C5" s="667"/>
      <c r="D5" s="667"/>
      <c r="E5" s="667"/>
      <c r="F5" s="668"/>
      <c r="G5" s="668"/>
      <c r="H5" s="669"/>
      <c r="I5" s="669"/>
    </row>
    <row r="6" spans="2:10" ht="33" customHeight="1">
      <c r="B6" s="670" t="s">
        <v>9</v>
      </c>
      <c r="C6" s="671"/>
      <c r="D6" s="671"/>
      <c r="E6" s="671"/>
      <c r="F6" s="671"/>
      <c r="G6" s="671"/>
      <c r="H6" s="671"/>
      <c r="I6" s="671"/>
    </row>
    <row r="7" spans="2:10">
      <c r="B7" s="5"/>
      <c r="C7" s="6"/>
      <c r="D7" s="6"/>
      <c r="F7" s="1"/>
      <c r="H7" s="1"/>
      <c r="I7" s="2" t="s">
        <v>10</v>
      </c>
    </row>
    <row r="8" spans="2:10" ht="42" customHeight="1">
      <c r="B8" s="277" t="s">
        <v>11</v>
      </c>
      <c r="C8" s="277" t="s">
        <v>12</v>
      </c>
      <c r="D8" s="277" t="s">
        <v>13</v>
      </c>
      <c r="E8" s="277" t="s">
        <v>14</v>
      </c>
      <c r="F8" s="278" t="s">
        <v>15</v>
      </c>
      <c r="G8" s="277" t="s">
        <v>16</v>
      </c>
      <c r="H8" s="278" t="s">
        <v>15</v>
      </c>
      <c r="I8" s="277" t="s">
        <v>17</v>
      </c>
    </row>
    <row r="9" spans="2:10">
      <c r="B9" s="272" t="s">
        <v>18</v>
      </c>
      <c r="C9" s="660" t="s">
        <v>19</v>
      </c>
      <c r="D9" s="660"/>
      <c r="E9" s="276">
        <f>E10+E11+E12+E13+E14+E15+E16+E18+E22</f>
        <v>23726.144929999995</v>
      </c>
      <c r="F9" s="276">
        <f>F10+F11+F12+F13+F14+F15+F16+F18+F22</f>
        <v>1264</v>
      </c>
      <c r="G9" s="276">
        <f>G10+G11+G12+G13+G14+G15+G16+G18+G22+G21+G17</f>
        <v>25584.095929999996</v>
      </c>
      <c r="H9" s="276">
        <f>H10+H11+H12+H13+H14+H15+H16+H18+H22+H21+H17</f>
        <v>-515.80600000000004</v>
      </c>
      <c r="I9" s="276">
        <f>I10+I11+I12+I13+I14+I15+I16+I18+I22+I21+I17</f>
        <v>25068.289929999995</v>
      </c>
      <c r="J9" s="10">
        <f>SUM(G10:G21)</f>
        <v>25584.095929999996</v>
      </c>
    </row>
    <row r="10" spans="2:10" ht="30">
      <c r="B10" s="124" t="s">
        <v>20</v>
      </c>
      <c r="C10" s="8" t="s">
        <v>21</v>
      </c>
      <c r="D10" s="8" t="s">
        <v>22</v>
      </c>
      <c r="E10" s="7">
        <f>'[1]10 прил(2011г)чистовик'!J651</f>
        <v>1080.095</v>
      </c>
      <c r="F10" s="7">
        <f>'[1]10 прил(2011г)чистовик'!K651</f>
        <v>0</v>
      </c>
      <c r="G10" s="9">
        <f>'[1]10 прил(2011г)чистовик'!J651</f>
        <v>1080.095</v>
      </c>
      <c r="H10" s="9">
        <f>'10 прил(гл.расп,расх)'!K734</f>
        <v>0</v>
      </c>
      <c r="I10" s="9">
        <f>G10+H10</f>
        <v>1080.095</v>
      </c>
      <c r="J10" s="10">
        <f>G9-J9</f>
        <v>0</v>
      </c>
    </row>
    <row r="11" spans="2:10" ht="45">
      <c r="B11" s="124" t="s">
        <v>23</v>
      </c>
      <c r="C11" s="8" t="s">
        <v>21</v>
      </c>
      <c r="D11" s="8" t="s">
        <v>24</v>
      </c>
      <c r="E11" s="7">
        <f>'[1]10 прил(2011г)чистовик'!J652</f>
        <v>1677.1489999999999</v>
      </c>
      <c r="F11" s="7">
        <f>'[1]10 прил(2011г)чистовик'!K652</f>
        <v>0</v>
      </c>
      <c r="G11" s="9">
        <f>'10 прил(гл.расп,расх)'!J735</f>
        <v>1708.9490000000001</v>
      </c>
      <c r="H11" s="9">
        <f>'10 прил(гл.расп,расх)'!K735</f>
        <v>1.722</v>
      </c>
      <c r="I11" s="9">
        <f>'10 прил(гл.расп,расх)'!L735</f>
        <v>1710.671</v>
      </c>
    </row>
    <row r="12" spans="2:10" ht="60">
      <c r="B12" s="124" t="s">
        <v>25</v>
      </c>
      <c r="C12" s="8" t="s">
        <v>21</v>
      </c>
      <c r="D12" s="8" t="s">
        <v>26</v>
      </c>
      <c r="E12" s="7">
        <f>'[1]10 прил(2011г)чистовик'!J653</f>
        <v>17629.555999999997</v>
      </c>
      <c r="F12" s="7">
        <f>'[1]10 прил(2011г)чистовик'!K653</f>
        <v>1264</v>
      </c>
      <c r="G12" s="9">
        <f>'10 прил(гл.расп,расх)'!J736</f>
        <v>17266.926999999996</v>
      </c>
      <c r="H12" s="9">
        <f>'10 прил(гл.расп,расх)'!K736</f>
        <v>-688.01800000000003</v>
      </c>
      <c r="I12" s="9">
        <f>'10 прил(гл.расп,расх)'!L736</f>
        <v>16578.909</v>
      </c>
    </row>
    <row r="13" spans="2:10" ht="12.75" customHeight="1">
      <c r="B13" s="124" t="s">
        <v>27</v>
      </c>
      <c r="C13" s="8" t="s">
        <v>21</v>
      </c>
      <c r="D13" s="8" t="s">
        <v>28</v>
      </c>
      <c r="E13" s="7">
        <f>'[1]10 прил(2011г)чистовик'!J654</f>
        <v>0</v>
      </c>
      <c r="F13" s="7">
        <f>'[1]10 прил(2011г)чистовик'!K654</f>
        <v>0</v>
      </c>
      <c r="G13" s="9">
        <f>'10 прил(гл.расп,расх)'!J737</f>
        <v>0</v>
      </c>
      <c r="H13" s="9">
        <f>'10 прил(гл.расп,расх)'!K737</f>
        <v>0</v>
      </c>
      <c r="I13" s="9">
        <f>'10 прил(гл.расп,расх)'!L737</f>
        <v>0</v>
      </c>
    </row>
    <row r="14" spans="2:10" ht="45">
      <c r="B14" s="124" t="s">
        <v>29</v>
      </c>
      <c r="C14" s="8" t="s">
        <v>21</v>
      </c>
      <c r="D14" s="8" t="s">
        <v>30</v>
      </c>
      <c r="E14" s="7">
        <f>'[1]10 прил(2011г)чистовик'!J655</f>
        <v>3205.056</v>
      </c>
      <c r="F14" s="7">
        <f>'[1]10 прил(2011г)чистовик'!K655</f>
        <v>0</v>
      </c>
      <c r="G14" s="9">
        <f>'10 прил(гл.расп,расх)'!J738</f>
        <v>3277.306</v>
      </c>
      <c r="H14" s="9">
        <f>'10 прил(гл.расп,расх)'!K738</f>
        <v>44.74</v>
      </c>
      <c r="I14" s="9">
        <f>'10 прил(гл.расп,расх)'!L738</f>
        <v>3322.0459999999998</v>
      </c>
    </row>
    <row r="15" spans="2:10" ht="15" customHeight="1">
      <c r="B15" s="124" t="s">
        <v>31</v>
      </c>
      <c r="C15" s="8" t="s">
        <v>21</v>
      </c>
      <c r="D15" s="8" t="s">
        <v>32</v>
      </c>
      <c r="E15" s="7">
        <f>'[1]10 прил(2011г)чистовик'!J656</f>
        <v>134.28892999999999</v>
      </c>
      <c r="F15" s="7">
        <f>'[1]10 прил(2011г)чистовик'!K656</f>
        <v>0</v>
      </c>
      <c r="G15" s="9">
        <f>'10 прил(гл.расп,расх)'!J739</f>
        <v>164.28892999999999</v>
      </c>
      <c r="H15" s="9">
        <f>'10 прил(гл.расп,расх)'!K739</f>
        <v>-30</v>
      </c>
      <c r="I15" s="9">
        <f>'10 прил(гл.расп,расх)'!L739</f>
        <v>134.28892999999999</v>
      </c>
    </row>
    <row r="16" spans="2:10" hidden="1">
      <c r="B16" s="124"/>
      <c r="C16" s="8"/>
      <c r="D16" s="8"/>
      <c r="E16" s="7"/>
      <c r="F16" s="7"/>
      <c r="G16" s="9"/>
      <c r="H16" s="9"/>
      <c r="I16" s="9"/>
    </row>
    <row r="17" spans="2:10">
      <c r="B17" s="271" t="s">
        <v>35</v>
      </c>
      <c r="C17" s="8" t="s">
        <v>21</v>
      </c>
      <c r="D17" s="8" t="s">
        <v>34</v>
      </c>
      <c r="E17" s="7"/>
      <c r="F17" s="7"/>
      <c r="G17" s="9">
        <f>'10 прил(гл.расп,расх)'!J741</f>
        <v>0</v>
      </c>
      <c r="H17" s="9">
        <f>'10 прил(гл.расп,расх)'!K741</f>
        <v>0</v>
      </c>
      <c r="I17" s="9">
        <f>'10 прил(гл.расп,расх)'!L741</f>
        <v>0</v>
      </c>
    </row>
    <row r="18" spans="2:10" hidden="1">
      <c r="B18" s="124" t="s">
        <v>35</v>
      </c>
      <c r="C18" s="8" t="s">
        <v>21</v>
      </c>
      <c r="D18" s="8" t="s">
        <v>36</v>
      </c>
      <c r="E18" s="7">
        <f>'[1]10 прил(2011г)чистовик'!J659</f>
        <v>0</v>
      </c>
      <c r="F18" s="7">
        <f>'[1]10 прил(2011г)чистовик'!K659</f>
        <v>0</v>
      </c>
      <c r="G18" s="9">
        <f>'10 прил(гл.расп,расх)'!J742</f>
        <v>0</v>
      </c>
      <c r="H18" s="9">
        <f>'10 прил(гл.расп,расх)'!K742</f>
        <v>0</v>
      </c>
      <c r="I18" s="9">
        <f>'10 прил(гл.расп,расх)'!L742</f>
        <v>0</v>
      </c>
    </row>
    <row r="19" spans="2:10" ht="14.25" hidden="1" customHeight="1">
      <c r="B19" s="124"/>
      <c r="C19" s="8"/>
      <c r="D19" s="8"/>
      <c r="E19" s="7">
        <f>'[1]10 прил(2011г)чистовик'!J660</f>
        <v>1596.53</v>
      </c>
      <c r="F19" s="7">
        <f>'[1]10 прил(2011г)чистовик'!K660</f>
        <v>450</v>
      </c>
      <c r="G19" s="9"/>
      <c r="H19" s="9"/>
      <c r="I19" s="9"/>
    </row>
    <row r="20" spans="2:10" ht="14.25" hidden="1" customHeight="1">
      <c r="B20" s="124"/>
      <c r="C20" s="8" t="s">
        <v>21</v>
      </c>
      <c r="D20" s="8" t="s">
        <v>37</v>
      </c>
      <c r="E20" s="7">
        <f>'[1]10 прил(2011г)чистовик'!J660</f>
        <v>1596.53</v>
      </c>
      <c r="F20" s="7">
        <f>'[1]10 прил(2011г)чистовик'!K660</f>
        <v>450</v>
      </c>
      <c r="G20" s="9"/>
      <c r="H20" s="9"/>
      <c r="I20" s="9"/>
    </row>
    <row r="21" spans="2:10" ht="14.25" customHeight="1">
      <c r="B21" s="271" t="s">
        <v>38</v>
      </c>
      <c r="C21" s="8" t="s">
        <v>21</v>
      </c>
      <c r="D21" s="8" t="s">
        <v>37</v>
      </c>
      <c r="E21" s="7"/>
      <c r="F21" s="7"/>
      <c r="G21" s="9">
        <f>'10 прил(гл.расп,расх)'!J743</f>
        <v>2086.5299999999997</v>
      </c>
      <c r="H21" s="9">
        <f>'10 прил(гл.расп,расх)'!K743</f>
        <v>155.75</v>
      </c>
      <c r="I21" s="9">
        <f>'10 прил(гл.расп,расх)'!L743</f>
        <v>2242.2799999999997</v>
      </c>
    </row>
    <row r="22" spans="2:10" hidden="1">
      <c r="B22" s="124" t="s">
        <v>38</v>
      </c>
      <c r="C22" s="8" t="s">
        <v>21</v>
      </c>
      <c r="D22" s="8" t="s">
        <v>39</v>
      </c>
      <c r="E22" s="7">
        <f>'[1]10 прил(2011г)чистовик'!J661</f>
        <v>0</v>
      </c>
      <c r="F22" s="7">
        <f>'[1]10 прил(2011г)чистовик'!K661</f>
        <v>0</v>
      </c>
      <c r="G22" s="9">
        <v>0</v>
      </c>
      <c r="H22" s="9">
        <f>'10 прил(гл.расп,расх)'!K746</f>
        <v>0</v>
      </c>
      <c r="I22" s="9">
        <f t="shared" ref="I22:I27" si="0">G22+H22</f>
        <v>0</v>
      </c>
    </row>
    <row r="23" spans="2:10">
      <c r="B23" s="272" t="s">
        <v>40</v>
      </c>
      <c r="C23" s="660" t="s">
        <v>41</v>
      </c>
      <c r="D23" s="660"/>
      <c r="E23" s="273"/>
      <c r="F23" s="273"/>
      <c r="G23" s="274">
        <f>G24</f>
        <v>541.5</v>
      </c>
      <c r="H23" s="274">
        <f>H24</f>
        <v>0</v>
      </c>
      <c r="I23" s="274">
        <f>I24</f>
        <v>541.5</v>
      </c>
      <c r="J23" s="10">
        <f>G24</f>
        <v>541.5</v>
      </c>
    </row>
    <row r="24" spans="2:10">
      <c r="B24" s="124" t="s">
        <v>42</v>
      </c>
      <c r="C24" s="8" t="s">
        <v>22</v>
      </c>
      <c r="D24" s="8" t="s">
        <v>24</v>
      </c>
      <c r="E24" s="7"/>
      <c r="F24" s="7"/>
      <c r="G24" s="9">
        <f>'10 прил(гл.расп,расх)'!J746</f>
        <v>541.5</v>
      </c>
      <c r="H24" s="9">
        <f>'10 прил(гл.расп,расх)'!K746</f>
        <v>0</v>
      </c>
      <c r="I24" s="9">
        <f>'10 прил(гл.расп,расх)'!L746</f>
        <v>541.5</v>
      </c>
    </row>
    <row r="25" spans="2:10" ht="29.25">
      <c r="B25" s="272" t="s">
        <v>43</v>
      </c>
      <c r="C25" s="660" t="s">
        <v>44</v>
      </c>
      <c r="D25" s="660"/>
      <c r="E25" s="273">
        <f>SUM(E26:E27)</f>
        <v>575</v>
      </c>
      <c r="F25" s="273">
        <f>SUM(F26:F27)</f>
        <v>200</v>
      </c>
      <c r="G25" s="273">
        <f>SUM(G26:G28)</f>
        <v>790</v>
      </c>
      <c r="H25" s="273">
        <f>SUM(H26:H28)</f>
        <v>-45</v>
      </c>
      <c r="I25" s="273">
        <f>SUM(I26:I28)</f>
        <v>745</v>
      </c>
      <c r="J25" s="10">
        <f>SUM(G26:G27)</f>
        <v>775</v>
      </c>
    </row>
    <row r="26" spans="2:10">
      <c r="B26" s="124" t="s">
        <v>45</v>
      </c>
      <c r="C26" s="8" t="s">
        <v>24</v>
      </c>
      <c r="D26" s="8" t="s">
        <v>22</v>
      </c>
      <c r="E26" s="7">
        <f>'[1]10 прил(2011г)чистовик'!J665</f>
        <v>500</v>
      </c>
      <c r="F26" s="7">
        <f>'[1]10 прил(2011г)чистовик'!K665</f>
        <v>200</v>
      </c>
      <c r="G26" s="9">
        <v>700</v>
      </c>
      <c r="H26" s="9">
        <f>'10 прил(гл.расп,расх)'!K748</f>
        <v>0</v>
      </c>
      <c r="I26" s="9">
        <f t="shared" si="0"/>
        <v>700</v>
      </c>
    </row>
    <row r="27" spans="2:10" ht="30">
      <c r="B27" s="124" t="s">
        <v>46</v>
      </c>
      <c r="C27" s="8" t="s">
        <v>24</v>
      </c>
      <c r="D27" s="8" t="s">
        <v>47</v>
      </c>
      <c r="E27" s="7">
        <f>'[1]10 прил(2011г)чистовик'!J666</f>
        <v>75</v>
      </c>
      <c r="F27" s="7">
        <f>'[1]10 прил(2011г)чистовик'!K666</f>
        <v>0</v>
      </c>
      <c r="G27" s="9">
        <f>'[1]10 прил(2011г)чистовик'!J666</f>
        <v>75</v>
      </c>
      <c r="H27" s="9">
        <f>'10 прил(гл.расп,расх)'!K749</f>
        <v>-45</v>
      </c>
      <c r="I27" s="9">
        <f t="shared" si="0"/>
        <v>30</v>
      </c>
    </row>
    <row r="28" spans="2:10">
      <c r="B28" s="124"/>
      <c r="C28" s="8" t="s">
        <v>24</v>
      </c>
      <c r="D28" s="8" t="s">
        <v>39</v>
      </c>
      <c r="E28" s="7"/>
      <c r="F28" s="7"/>
      <c r="G28" s="9">
        <f>'10 прил(гл.расп,расх)'!J750</f>
        <v>15</v>
      </c>
      <c r="H28" s="9">
        <f>'10 прил(гл.расп,расх)'!K750</f>
        <v>0</v>
      </c>
      <c r="I28" s="9">
        <f>'10 прил(гл.расп,расх)'!L750</f>
        <v>15</v>
      </c>
    </row>
    <row r="29" spans="2:10">
      <c r="B29" s="272" t="s">
        <v>48</v>
      </c>
      <c r="C29" s="660" t="s">
        <v>49</v>
      </c>
      <c r="D29" s="660"/>
      <c r="E29" s="273">
        <f>SUM(E30:E35)</f>
        <v>2694.703</v>
      </c>
      <c r="F29" s="273">
        <f>SUM(F30:F35)</f>
        <v>70</v>
      </c>
      <c r="G29" s="273">
        <f>SUM(G30:G35)</f>
        <v>6840.3330000000005</v>
      </c>
      <c r="H29" s="273">
        <f>SUM(H30:H35)</f>
        <v>2479.0619999999999</v>
      </c>
      <c r="I29" s="273">
        <f>SUM(I30:I35)</f>
        <v>9319.3950000000004</v>
      </c>
      <c r="J29" s="10">
        <f>SUM(H30:H35)</f>
        <v>2479.0619999999999</v>
      </c>
    </row>
    <row r="30" spans="2:10">
      <c r="B30" s="124" t="s">
        <v>50</v>
      </c>
      <c r="C30" s="8" t="s">
        <v>26</v>
      </c>
      <c r="D30" s="8" t="s">
        <v>21</v>
      </c>
      <c r="E30" s="7"/>
      <c r="F30" s="7"/>
      <c r="G30" s="9">
        <f>'10 прил(гл.расп,расх)'!J752</f>
        <v>598.6</v>
      </c>
      <c r="H30" s="9">
        <f>'10 прил(гл.расп,расх)'!K752</f>
        <v>60.599999999999994</v>
      </c>
      <c r="I30" s="9">
        <f>'10 прил(гл.расп,расх)'!L752</f>
        <v>659.19999999999993</v>
      </c>
    </row>
    <row r="31" spans="2:10" ht="14.25" customHeight="1">
      <c r="B31" s="124" t="s">
        <v>51</v>
      </c>
      <c r="C31" s="8" t="s">
        <v>26</v>
      </c>
      <c r="D31" s="8" t="s">
        <v>28</v>
      </c>
      <c r="E31" s="7">
        <f>'[1]10 прил(2011г)чистовик'!J668</f>
        <v>160</v>
      </c>
      <c r="F31" s="7">
        <f>'[1]10 прил(2011г)чистовик'!K668</f>
        <v>70</v>
      </c>
      <c r="G31" s="9">
        <f>'10 прил(гл.расп,расх)'!J753</f>
        <v>2599</v>
      </c>
      <c r="H31" s="9">
        <f>'10 прил(гл.расп,расх)'!K753</f>
        <v>749.63099999999997</v>
      </c>
      <c r="I31" s="9">
        <f>'10 прил(гл.расп,расх)'!L753</f>
        <v>3348.6309999999999</v>
      </c>
    </row>
    <row r="32" spans="2:10" hidden="1">
      <c r="B32" s="124" t="s">
        <v>52</v>
      </c>
      <c r="C32" s="8" t="s">
        <v>26</v>
      </c>
      <c r="D32" s="8" t="s">
        <v>53</v>
      </c>
      <c r="E32" s="7">
        <v>0</v>
      </c>
      <c r="F32" s="7"/>
      <c r="G32" s="9"/>
      <c r="H32" s="9">
        <f>'10 прил(гл.расп,расх)'!K755</f>
        <v>0</v>
      </c>
      <c r="I32" s="9">
        <f>G32+H32</f>
        <v>0</v>
      </c>
    </row>
    <row r="33" spans="2:10" hidden="1">
      <c r="B33" s="124" t="s">
        <v>54</v>
      </c>
      <c r="C33" s="8" t="s">
        <v>26</v>
      </c>
      <c r="D33" s="8" t="s">
        <v>47</v>
      </c>
      <c r="E33" s="7">
        <f>'[1]10 прил(2011г)чистовик'!J669</f>
        <v>0</v>
      </c>
      <c r="F33" s="7">
        <f>'[1]10 прил(2011г)чистовик'!K669</f>
        <v>0</v>
      </c>
      <c r="G33" s="9">
        <f>'[1]10 прил(2011г)чистовик'!J669</f>
        <v>0</v>
      </c>
      <c r="H33" s="9"/>
      <c r="I33" s="9">
        <f>G33+H33</f>
        <v>0</v>
      </c>
    </row>
    <row r="34" spans="2:10" ht="27" hidden="1" customHeight="1">
      <c r="B34" s="31" t="s">
        <v>55</v>
      </c>
      <c r="C34" s="8" t="s">
        <v>26</v>
      </c>
      <c r="D34" s="8" t="s">
        <v>34</v>
      </c>
      <c r="E34" s="7">
        <f>'[1]10 прил(2011г)чистовик'!J670</f>
        <v>0</v>
      </c>
      <c r="F34" s="7">
        <f>'[1]10 прил(2011г)чистовик'!K670</f>
        <v>0</v>
      </c>
      <c r="G34" s="9"/>
      <c r="H34" s="9">
        <v>0</v>
      </c>
      <c r="I34" s="9">
        <f>G34+H34</f>
        <v>0</v>
      </c>
    </row>
    <row r="35" spans="2:10">
      <c r="B35" s="124" t="s">
        <v>56</v>
      </c>
      <c r="C35" s="8" t="s">
        <v>26</v>
      </c>
      <c r="D35" s="8" t="s">
        <v>36</v>
      </c>
      <c r="E35" s="7">
        <f>'[1]10 прил(2011г)чистовик'!J671</f>
        <v>2534.703</v>
      </c>
      <c r="F35" s="7">
        <f>'[1]10 прил(2011г)чистовик'!K671</f>
        <v>0</v>
      </c>
      <c r="G35" s="9">
        <f>'10 прил(гл.расп,расх)'!J756</f>
        <v>3642.7330000000002</v>
      </c>
      <c r="H35" s="9">
        <f>'10 прил(гл.расп,расх)'!K756</f>
        <v>1668.8309999999999</v>
      </c>
      <c r="I35" s="9">
        <f>'10 прил(гл.расп,расх)'!L756</f>
        <v>5311.5640000000003</v>
      </c>
    </row>
    <row r="36" spans="2:10">
      <c r="B36" s="272" t="s">
        <v>57</v>
      </c>
      <c r="C36" s="660" t="s">
        <v>58</v>
      </c>
      <c r="D36" s="660"/>
      <c r="E36" s="273">
        <f>SUM(E37:E40)</f>
        <v>16056.14</v>
      </c>
      <c r="F36" s="273">
        <f>SUM(F37:F40)</f>
        <v>990.6</v>
      </c>
      <c r="G36" s="273">
        <f>SUM(G37:G40)</f>
        <v>25085.641999999996</v>
      </c>
      <c r="H36" s="273">
        <f>SUM(H37:H40)</f>
        <v>8860.2870000000003</v>
      </c>
      <c r="I36" s="273">
        <f>SUM(I37:I40)</f>
        <v>33945.928999999996</v>
      </c>
      <c r="J36" s="10">
        <f>SUM(G37:G40)</f>
        <v>25085.641999999996</v>
      </c>
    </row>
    <row r="37" spans="2:10">
      <c r="B37" s="124" t="s">
        <v>59</v>
      </c>
      <c r="C37" s="8" t="s">
        <v>28</v>
      </c>
      <c r="D37" s="8" t="s">
        <v>21</v>
      </c>
      <c r="E37" s="7">
        <f>'[1]10 прил(2011г)чистовик'!J673</f>
        <v>1400</v>
      </c>
      <c r="F37" s="7">
        <f>'[1]10 прил(2011г)чистовик'!K673</f>
        <v>80</v>
      </c>
      <c r="G37" s="9">
        <f>'10 прил(гл.расп,расх)'!J758</f>
        <v>1195.5900000000001</v>
      </c>
      <c r="H37" s="9">
        <f>'10 прил(гл.расп,расх)'!K758</f>
        <v>124.2</v>
      </c>
      <c r="I37" s="9">
        <f>'10 прил(гл.расп,расх)'!L758</f>
        <v>1319.7900000000002</v>
      </c>
    </row>
    <row r="38" spans="2:10">
      <c r="B38" s="124" t="s">
        <v>60</v>
      </c>
      <c r="C38" s="8" t="s">
        <v>28</v>
      </c>
      <c r="D38" s="8" t="s">
        <v>22</v>
      </c>
      <c r="E38" s="7">
        <f>'[1]10 прил(2011г)чистовик'!J674</f>
        <v>14356.14</v>
      </c>
      <c r="F38" s="7">
        <f>'[1]10 прил(2011г)чистовик'!K674</f>
        <v>710.6</v>
      </c>
      <c r="G38" s="9">
        <f>'10 прил(гл.расп,расх)'!J759</f>
        <v>21490.051999999996</v>
      </c>
      <c r="H38" s="9">
        <f>'10 прил(гл.расп,расх)'!K759</f>
        <v>8736.0869999999995</v>
      </c>
      <c r="I38" s="9">
        <f>'10 прил(гл.расп,расх)'!L759</f>
        <v>30226.138999999996</v>
      </c>
    </row>
    <row r="39" spans="2:10" ht="15" customHeight="1">
      <c r="B39" s="124" t="s">
        <v>61</v>
      </c>
      <c r="C39" s="8" t="s">
        <v>28</v>
      </c>
      <c r="D39" s="8" t="s">
        <v>24</v>
      </c>
      <c r="E39" s="7">
        <f>'[1]10 прил(2011г)чистовик'!J675</f>
        <v>300</v>
      </c>
      <c r="F39" s="7">
        <f>'[1]10 прил(2011г)чистовик'!K675</f>
        <v>200</v>
      </c>
      <c r="G39" s="9">
        <f>'10 прил(гл.расп,расх)'!J760</f>
        <v>2400</v>
      </c>
      <c r="H39" s="9">
        <f>'10 прил(гл.расп,расх)'!K760</f>
        <v>0</v>
      </c>
      <c r="I39" s="9">
        <f>'10 прил(гл.расп,расх)'!L760</f>
        <v>2400</v>
      </c>
    </row>
    <row r="40" spans="2:10" ht="12.75" customHeight="1">
      <c r="B40" s="124" t="s">
        <v>62</v>
      </c>
      <c r="C40" s="8" t="s">
        <v>28</v>
      </c>
      <c r="D40" s="8" t="s">
        <v>28</v>
      </c>
      <c r="E40" s="7">
        <f>'[1]10 прил(2011г)чистовик'!J676</f>
        <v>0</v>
      </c>
      <c r="F40" s="7">
        <f>'[1]10 прил(2011г)чистовик'!K676</f>
        <v>0</v>
      </c>
      <c r="G40" s="9">
        <v>0</v>
      </c>
      <c r="H40" s="9">
        <f>'10 прил(гл.расп,расх)'!K761</f>
        <v>0</v>
      </c>
      <c r="I40" s="9">
        <f>G40+H40</f>
        <v>0</v>
      </c>
    </row>
    <row r="41" spans="2:10">
      <c r="B41" s="272" t="s">
        <v>63</v>
      </c>
      <c r="C41" s="660" t="s">
        <v>64</v>
      </c>
      <c r="D41" s="660"/>
      <c r="E41" s="273">
        <f>SUM(E42:E46)</f>
        <v>202387.06693</v>
      </c>
      <c r="F41" s="273">
        <f>SUM(F42:F46)</f>
        <v>4473.2110400000001</v>
      </c>
      <c r="G41" s="273">
        <f>SUM(G42:G46)</f>
        <v>276741.11009000003</v>
      </c>
      <c r="H41" s="273">
        <f>SUM(H42:H46)</f>
        <v>40143.659</v>
      </c>
      <c r="I41" s="273">
        <f>SUM(I42:I46)</f>
        <v>316884.76909000002</v>
      </c>
      <c r="J41" s="10">
        <f>SUM(G42:G46)</f>
        <v>276741.11009000003</v>
      </c>
    </row>
    <row r="42" spans="2:10" ht="15" customHeight="1">
      <c r="B42" s="124" t="s">
        <v>65</v>
      </c>
      <c r="C42" s="8" t="s">
        <v>32</v>
      </c>
      <c r="D42" s="8" t="s">
        <v>21</v>
      </c>
      <c r="E42" s="7">
        <f>'[1]10 прил(2011г)чистовик'!J678</f>
        <v>565</v>
      </c>
      <c r="F42" s="7">
        <f>'[1]10 прил(2011г)чистовик'!K678</f>
        <v>263</v>
      </c>
      <c r="G42" s="9">
        <f>'10 прил(гл.расп,расх)'!J763</f>
        <v>920.93299999999999</v>
      </c>
      <c r="H42" s="9">
        <f>'10 прил(гл.расп,расх)'!K763</f>
        <v>0</v>
      </c>
      <c r="I42" s="9">
        <f>'10 прил(гл.расп,расх)'!L763</f>
        <v>920.93299999999999</v>
      </c>
    </row>
    <row r="43" spans="2:10">
      <c r="B43" s="124" t="s">
        <v>66</v>
      </c>
      <c r="C43" s="8" t="s">
        <v>32</v>
      </c>
      <c r="D43" s="8" t="s">
        <v>22</v>
      </c>
      <c r="E43" s="7">
        <f>'[1]10 прил(2011г)чистовик'!J679</f>
        <v>191668.53093000001</v>
      </c>
      <c r="F43" s="7">
        <f>'[1]10 прил(2011г)чистовик'!K679</f>
        <v>4208.9560600000004</v>
      </c>
      <c r="G43" s="9">
        <f>'10 прил(гл.расп,расх)'!J764</f>
        <v>264317.57608999999</v>
      </c>
      <c r="H43" s="9">
        <f>'10 прил(гл.расп,расх)'!K764</f>
        <v>40411.362999999998</v>
      </c>
      <c r="I43" s="9">
        <f>'10 прил(гл.расп,расх)'!L764</f>
        <v>304728.93909</v>
      </c>
    </row>
    <row r="44" spans="2:10" ht="30">
      <c r="B44" s="124" t="s">
        <v>67</v>
      </c>
      <c r="C44" s="8" t="s">
        <v>32</v>
      </c>
      <c r="D44" s="8" t="s">
        <v>28</v>
      </c>
      <c r="E44" s="7">
        <f>'[1]10 прил(2011г)чистовик'!J680</f>
        <v>740.91</v>
      </c>
      <c r="F44" s="7">
        <f>'[1]10 прил(2011г)чистовик'!K680</f>
        <v>0</v>
      </c>
      <c r="G44" s="9">
        <f>'10 прил(гл.расп,расх)'!J765</f>
        <v>796.81</v>
      </c>
      <c r="H44" s="9">
        <f>'10 прил(гл.расп,расх)'!K765</f>
        <v>-328.35</v>
      </c>
      <c r="I44" s="9">
        <f>'10 прил(гл.расп,расх)'!L765</f>
        <v>468.45999999999992</v>
      </c>
    </row>
    <row r="45" spans="2:10">
      <c r="B45" s="124" t="s">
        <v>68</v>
      </c>
      <c r="C45" s="8" t="s">
        <v>32</v>
      </c>
      <c r="D45" s="8" t="s">
        <v>32</v>
      </c>
      <c r="E45" s="7">
        <f>'[1]10 прил(2011г)чистовик'!J681</f>
        <v>2380.06</v>
      </c>
      <c r="F45" s="7">
        <f>'[1]10 прил(2011г)чистовик'!K681</f>
        <v>0</v>
      </c>
      <c r="G45" s="9">
        <f>'10 прил(гл.расп,расх)'!J766</f>
        <v>3492.2749999999996</v>
      </c>
      <c r="H45" s="9">
        <f>'10 прил(гл.расп,расх)'!K766</f>
        <v>2.1649999999999991</v>
      </c>
      <c r="I45" s="9">
        <f>'10 прил(гл.расп,расх)'!L766</f>
        <v>3494.4399999999996</v>
      </c>
    </row>
    <row r="46" spans="2:10">
      <c r="B46" s="124" t="s">
        <v>69</v>
      </c>
      <c r="C46" s="8" t="s">
        <v>32</v>
      </c>
      <c r="D46" s="8" t="s">
        <v>47</v>
      </c>
      <c r="E46" s="7">
        <f>'[1]10 прил(2011г)чистовик'!J682</f>
        <v>7032.5659999999998</v>
      </c>
      <c r="F46" s="7">
        <f>'[1]10 прил(2011г)чистовик'!K682</f>
        <v>1.25498</v>
      </c>
      <c r="G46" s="9">
        <f>'10 прил(гл.расп,расх)'!J767</f>
        <v>7213.5160000000005</v>
      </c>
      <c r="H46" s="9">
        <f>'10 прил(гл.расп,расх)'!K767</f>
        <v>58.480999999999995</v>
      </c>
      <c r="I46" s="9">
        <f>'10 прил(гл.расп,расх)'!L767</f>
        <v>7271.9970000000003</v>
      </c>
    </row>
    <row r="47" spans="2:10">
      <c r="B47" s="272" t="s">
        <v>70</v>
      </c>
      <c r="C47" s="660" t="s">
        <v>71</v>
      </c>
      <c r="D47" s="660"/>
      <c r="E47" s="273">
        <f>SUM(E48:E51)</f>
        <v>4058.8519999999999</v>
      </c>
      <c r="F47" s="273">
        <f>SUM(F48:F51)</f>
        <v>648.88</v>
      </c>
      <c r="G47" s="273">
        <f>SUM(G48:G51)</f>
        <v>7280.2824000000001</v>
      </c>
      <c r="H47" s="273">
        <f>SUM(H48:H51)</f>
        <v>151.43700000000001</v>
      </c>
      <c r="I47" s="273">
        <f>SUM(I48:I51)</f>
        <v>7431.7194</v>
      </c>
      <c r="J47" s="10">
        <f>SUM(G48:G50)</f>
        <v>7280.2824000000001</v>
      </c>
    </row>
    <row r="48" spans="2:10">
      <c r="B48" s="124" t="s">
        <v>72</v>
      </c>
      <c r="C48" s="8" t="s">
        <v>53</v>
      </c>
      <c r="D48" s="8" t="s">
        <v>21</v>
      </c>
      <c r="E48" s="7">
        <f>'[1]10 прил(2011г)чистовик'!J684</f>
        <v>4058.8519999999999</v>
      </c>
      <c r="F48" s="7">
        <f>'[1]10 прил(2011г)чистовик'!K684</f>
        <v>648.88</v>
      </c>
      <c r="G48" s="9">
        <f>'10 прил(гл.расп,расх)'!J769</f>
        <v>5038.4920000000002</v>
      </c>
      <c r="H48" s="9">
        <f>'10 прил(гл.расп,расх)'!K769</f>
        <v>48.010999999999996</v>
      </c>
      <c r="I48" s="9">
        <f>'10 прил(гл.расп,расх)'!L769</f>
        <v>5086.5029999999997</v>
      </c>
    </row>
    <row r="49" spans="2:10" hidden="1">
      <c r="B49" s="124" t="s">
        <v>73</v>
      </c>
      <c r="C49" s="8" t="s">
        <v>53</v>
      </c>
      <c r="D49" s="8" t="s">
        <v>26</v>
      </c>
      <c r="E49" s="7">
        <f>'[1]10 прил(2011г)чистовик'!J685</f>
        <v>0</v>
      </c>
      <c r="F49" s="7">
        <f>'[1]10 прил(2011г)чистовик'!K685</f>
        <v>0</v>
      </c>
      <c r="G49" s="9">
        <f>'[1]10 прил(2011г)чистовик'!J685</f>
        <v>0</v>
      </c>
      <c r="H49" s="9"/>
      <c r="I49" s="9">
        <f>G49+H49</f>
        <v>0</v>
      </c>
    </row>
    <row r="50" spans="2:10">
      <c r="B50" s="124" t="s">
        <v>74</v>
      </c>
      <c r="C50" s="8" t="s">
        <v>53</v>
      </c>
      <c r="D50" s="8" t="s">
        <v>26</v>
      </c>
      <c r="E50" s="7"/>
      <c r="F50" s="7"/>
      <c r="G50" s="9">
        <f>'10 прил(гл.расп,расх)'!J771</f>
        <v>2241.7903999999999</v>
      </c>
      <c r="H50" s="9">
        <f>'10 прил(гл.расп,расх)'!K771</f>
        <v>103.426</v>
      </c>
      <c r="I50" s="9">
        <f>'10 прил(гл.расп,расх)'!L771</f>
        <v>2345.2164000000002</v>
      </c>
    </row>
    <row r="51" spans="2:10" ht="30" hidden="1">
      <c r="B51" s="124" t="s">
        <v>75</v>
      </c>
      <c r="C51" s="8" t="s">
        <v>53</v>
      </c>
      <c r="D51" s="8" t="s">
        <v>30</v>
      </c>
      <c r="E51" s="7">
        <f>'[1]10 прил(2011г)чистовик'!J687</f>
        <v>0</v>
      </c>
      <c r="F51" s="7">
        <f>'[1]10 прил(2011г)чистовик'!K687</f>
        <v>0</v>
      </c>
      <c r="G51" s="9">
        <f>'[1]10 прил(2011г)чистовик'!J687</f>
        <v>0</v>
      </c>
      <c r="H51" s="9">
        <f>'[1]10 прил(2011г)чистовик'!K687</f>
        <v>0</v>
      </c>
      <c r="I51" s="9">
        <f>'[1]10 прил(2011г)чистовик'!L687</f>
        <v>0</v>
      </c>
    </row>
    <row r="52" spans="2:10">
      <c r="B52" s="272" t="s">
        <v>76</v>
      </c>
      <c r="C52" s="660" t="s">
        <v>77</v>
      </c>
      <c r="D52" s="660"/>
      <c r="E52" s="273">
        <f>SUM(E53:E59)</f>
        <v>43853.96</v>
      </c>
      <c r="F52" s="273">
        <f>SUM(F53:F59)</f>
        <v>100</v>
      </c>
      <c r="G52" s="273">
        <f>SUM(G53:G59)</f>
        <v>106631.49857</v>
      </c>
      <c r="H52" s="273">
        <f>SUM(H53:H59)</f>
        <v>850.53611999999976</v>
      </c>
      <c r="I52" s="273">
        <f>SUM(I53:I59)</f>
        <v>107482.03468999999</v>
      </c>
      <c r="J52" s="10">
        <f>SUM(G53:G58)</f>
        <v>106631.49857</v>
      </c>
    </row>
    <row r="53" spans="2:10">
      <c r="B53" s="124" t="s">
        <v>78</v>
      </c>
      <c r="C53" s="8" t="s">
        <v>47</v>
      </c>
      <c r="D53" s="8" t="s">
        <v>21</v>
      </c>
      <c r="E53" s="7">
        <f>'[1]10 прил(2011г)чистовик'!J689</f>
        <v>38155.259999999995</v>
      </c>
      <c r="F53" s="7">
        <f>'[1]10 прил(2011г)чистовик'!K689</f>
        <v>100</v>
      </c>
      <c r="G53" s="9">
        <f>'10 прил(гл.расп,расх)'!J774</f>
        <v>99770.798569999999</v>
      </c>
      <c r="H53" s="9">
        <f>'10 прил(гл.расп,расх)'!K774</f>
        <v>1027.0721199999998</v>
      </c>
      <c r="I53" s="9">
        <f>'10 прил(гл.расп,расх)'!L774</f>
        <v>100797.87069</v>
      </c>
    </row>
    <row r="54" spans="2:10">
      <c r="B54" s="124" t="s">
        <v>79</v>
      </c>
      <c r="C54" s="8" t="s">
        <v>47</v>
      </c>
      <c r="D54" s="8" t="s">
        <v>22</v>
      </c>
      <c r="E54" s="7">
        <f>'[1]10 прил(2011г)чистовик'!J690</f>
        <v>4948.8</v>
      </c>
      <c r="F54" s="7">
        <f>'[1]10 прил(2011г)чистовик'!K690</f>
        <v>0</v>
      </c>
      <c r="G54" s="9">
        <f>'10 прил(гл.расп,расх)'!J775</f>
        <v>5310.8</v>
      </c>
      <c r="H54" s="9">
        <f>'10 прил(гл.расп,расх)'!K775</f>
        <v>-176.536</v>
      </c>
      <c r="I54" s="9">
        <f>'10 прил(гл.расп,расх)'!L775</f>
        <v>5134.2640000000001</v>
      </c>
    </row>
    <row r="55" spans="2:10">
      <c r="B55" s="124" t="s">
        <v>80</v>
      </c>
      <c r="C55" s="8" t="s">
        <v>47</v>
      </c>
      <c r="D55" s="8" t="s">
        <v>26</v>
      </c>
      <c r="E55" s="7">
        <f>'[1]10 прил(2011г)чистовик'!J691</f>
        <v>749.9</v>
      </c>
      <c r="F55" s="7">
        <f>'[1]10 прил(2011г)чистовик'!K691</f>
        <v>0</v>
      </c>
      <c r="G55" s="9">
        <f>'10 прил(гл.расп,расх)'!J776</f>
        <v>749.9</v>
      </c>
      <c r="H55" s="9">
        <f>'10 прил(гл.расп,расх)'!K776</f>
        <v>0</v>
      </c>
      <c r="I55" s="9">
        <f>'10 прил(гл.расп,расх)'!L776</f>
        <v>749.9</v>
      </c>
    </row>
    <row r="56" spans="2:10" ht="12.75" hidden="1" customHeight="1">
      <c r="B56" s="124" t="s">
        <v>81</v>
      </c>
      <c r="C56" s="8" t="s">
        <v>47</v>
      </c>
      <c r="D56" s="8" t="s">
        <v>53</v>
      </c>
      <c r="E56" s="7"/>
      <c r="F56" s="7"/>
      <c r="G56" s="9"/>
      <c r="H56" s="9">
        <f>'10 прил(гл.расп,расх)'!K777</f>
        <v>0</v>
      </c>
      <c r="I56" s="9">
        <f>G56+H56</f>
        <v>0</v>
      </c>
    </row>
    <row r="57" spans="2:10" hidden="1">
      <c r="B57" s="124" t="s">
        <v>82</v>
      </c>
      <c r="C57" s="8" t="s">
        <v>47</v>
      </c>
      <c r="D57" s="8" t="s">
        <v>53</v>
      </c>
      <c r="E57" s="7">
        <f>'[1]10 прил(2011г)чистовик'!J692</f>
        <v>0</v>
      </c>
      <c r="F57" s="7">
        <f>'[1]10 прил(2011г)чистовик'!K692</f>
        <v>0</v>
      </c>
      <c r="G57" s="9">
        <f>'[1]10 прил(2011г)чистовик'!J692</f>
        <v>0</v>
      </c>
      <c r="H57" s="9">
        <f>'10 прил(гл.расп,расх)'!K778</f>
        <v>0</v>
      </c>
      <c r="I57" s="9">
        <f>G57+H57</f>
        <v>0</v>
      </c>
    </row>
    <row r="58" spans="2:10">
      <c r="B58" s="124" t="s">
        <v>83</v>
      </c>
      <c r="C58" s="8" t="s">
        <v>47</v>
      </c>
      <c r="D58" s="8" t="s">
        <v>47</v>
      </c>
      <c r="E58" s="7"/>
      <c r="F58" s="7"/>
      <c r="G58" s="9">
        <f>'10 прил(гл.расп,расх)'!J778</f>
        <v>800</v>
      </c>
      <c r="H58" s="9">
        <f>'10 прил(гл.расп,расх)'!K778</f>
        <v>0</v>
      </c>
      <c r="I58" s="9">
        <f>'10 прил(гл.расп,расх)'!L778</f>
        <v>800</v>
      </c>
    </row>
    <row r="59" spans="2:10" ht="30" hidden="1">
      <c r="B59" s="124" t="s">
        <v>84</v>
      </c>
      <c r="C59" s="8" t="s">
        <v>47</v>
      </c>
      <c r="D59" s="8" t="s">
        <v>85</v>
      </c>
      <c r="E59" s="7">
        <f>'[1]10 прил(2011г)чистовик'!J694</f>
        <v>0</v>
      </c>
      <c r="F59" s="7">
        <f>'[1]10 прил(2011г)чистовик'!K694</f>
        <v>0</v>
      </c>
      <c r="G59" s="9">
        <f>'[1]10 прил(2011г)чистовик'!J694</f>
        <v>0</v>
      </c>
      <c r="H59" s="9">
        <f>'[1]10 прил(2011г)чистовик'!K694</f>
        <v>0</v>
      </c>
      <c r="I59" s="9">
        <f>'[1]10 прил(2011г)чистовик'!L694</f>
        <v>0</v>
      </c>
    </row>
    <row r="60" spans="2:10">
      <c r="B60" s="272" t="s">
        <v>86</v>
      </c>
      <c r="C60" s="660" t="s">
        <v>87</v>
      </c>
      <c r="D60" s="660"/>
      <c r="E60" s="273">
        <f>SUM(E61:E65)</f>
        <v>66168.008399999992</v>
      </c>
      <c r="F60" s="273">
        <f>SUM(F61:F65)</f>
        <v>938.56299999999999</v>
      </c>
      <c r="G60" s="273">
        <f>SUM(G61:G65)</f>
        <v>79634.897999999986</v>
      </c>
      <c r="H60" s="273">
        <f>SUM(H61:H65)</f>
        <v>8524.2160000000003</v>
      </c>
      <c r="I60" s="273">
        <f>SUM(I61:I65)</f>
        <v>88159.113999999987</v>
      </c>
      <c r="J60" s="10">
        <f>SUM(G61:G65)</f>
        <v>79634.897999999986</v>
      </c>
    </row>
    <row r="61" spans="2:10">
      <c r="B61" s="124" t="s">
        <v>88</v>
      </c>
      <c r="C61" s="8" t="s">
        <v>85</v>
      </c>
      <c r="D61" s="8" t="s">
        <v>21</v>
      </c>
      <c r="E61" s="7">
        <f>'[1]10 прил(2011г)чистовик'!J696</f>
        <v>1593.18</v>
      </c>
      <c r="F61" s="7">
        <f>'[1]10 прил(2011г)чистовик'!K696</f>
        <v>0</v>
      </c>
      <c r="G61" s="9">
        <f>'10 прил(гл.расп,расх)'!J781</f>
        <v>1593.18</v>
      </c>
      <c r="H61" s="9">
        <f>'10 прил(гл.расп,расх)'!K781</f>
        <v>0</v>
      </c>
      <c r="I61" s="9">
        <f>'10 прил(гл.расп,расх)'!L781</f>
        <v>1593.18</v>
      </c>
    </row>
    <row r="62" spans="2:10">
      <c r="B62" s="124" t="s">
        <v>89</v>
      </c>
      <c r="C62" s="8" t="s">
        <v>85</v>
      </c>
      <c r="D62" s="8" t="s">
        <v>22</v>
      </c>
      <c r="E62" s="7">
        <f>'[1]10 прил(2011г)чистовик'!J697</f>
        <v>6711.6473999999998</v>
      </c>
      <c r="F62" s="7">
        <f>'[1]10 прил(2011г)чистовик'!K697</f>
        <v>212.857</v>
      </c>
      <c r="G62" s="9">
        <f>'10 прил(гл.расп,расх)'!J782</f>
        <v>8128.76</v>
      </c>
      <c r="H62" s="9">
        <f>'10 прил(гл.расп,расх)'!K782</f>
        <v>526.24300000000005</v>
      </c>
      <c r="I62" s="9">
        <f>'10 прил(гл.расп,расх)'!L782</f>
        <v>8655.0030000000006</v>
      </c>
    </row>
    <row r="63" spans="2:10">
      <c r="B63" s="124" t="s">
        <v>90</v>
      </c>
      <c r="C63" s="8" t="s">
        <v>85</v>
      </c>
      <c r="D63" s="8" t="s">
        <v>24</v>
      </c>
      <c r="E63" s="7">
        <f>'[1]10 прил(2011г)чистовик'!J698</f>
        <v>44962.2</v>
      </c>
      <c r="F63" s="7">
        <f>'[1]10 прил(2011г)чистовик'!K698</f>
        <v>725.70600000000002</v>
      </c>
      <c r="G63" s="9">
        <f>'10 прил(гл.расп,расх)'!J783</f>
        <v>51725.827999999994</v>
      </c>
      <c r="H63" s="9">
        <f>'10 прил(гл.расп,расх)'!K783</f>
        <v>2067.473</v>
      </c>
      <c r="I63" s="9">
        <f>'10 прил(гл.расп,расх)'!L783</f>
        <v>53793.300999999992</v>
      </c>
    </row>
    <row r="64" spans="2:10">
      <c r="B64" s="124" t="s">
        <v>91</v>
      </c>
      <c r="C64" s="8" t="s">
        <v>85</v>
      </c>
      <c r="D64" s="8" t="s">
        <v>26</v>
      </c>
      <c r="E64" s="7">
        <f>'[1]10 прил(2011г)чистовик'!J699</f>
        <v>10903.6</v>
      </c>
      <c r="F64" s="7">
        <f>'[1]10 прил(2011г)чистовик'!K699</f>
        <v>0</v>
      </c>
      <c r="G64" s="9">
        <f>'10 прил(гл.расп,расх)'!J784</f>
        <v>16193.199999999999</v>
      </c>
      <c r="H64" s="9">
        <f>'10 прил(гл.расп,расх)'!K784</f>
        <v>6006.5</v>
      </c>
      <c r="I64" s="9">
        <f>'10 прил(гл.расп,расх)'!L784</f>
        <v>22199.699999999997</v>
      </c>
    </row>
    <row r="65" spans="2:10">
      <c r="B65" s="124" t="s">
        <v>92</v>
      </c>
      <c r="C65" s="8" t="s">
        <v>85</v>
      </c>
      <c r="D65" s="8" t="s">
        <v>30</v>
      </c>
      <c r="E65" s="7">
        <f>'[1]10 прил(2011г)чистовик'!J700</f>
        <v>1997.3809999999999</v>
      </c>
      <c r="F65" s="7">
        <f>'[1]10 прил(2011г)чистовик'!K700</f>
        <v>0</v>
      </c>
      <c r="G65" s="9">
        <f>'10 прил(гл.расп,расх)'!J785</f>
        <v>1993.93</v>
      </c>
      <c r="H65" s="9">
        <f>'10 прил(гл.расп,расх)'!K785</f>
        <v>-76</v>
      </c>
      <c r="I65" s="9">
        <f>'10 прил(гл.расп,расх)'!L785</f>
        <v>1917.93</v>
      </c>
    </row>
    <row r="66" spans="2:10" hidden="1">
      <c r="B66" s="272" t="s">
        <v>93</v>
      </c>
      <c r="C66" s="660" t="s">
        <v>94</v>
      </c>
      <c r="D66" s="661"/>
      <c r="E66" s="273" t="e">
        <f>E67+E68+E69+E70</f>
        <v>#REF!</v>
      </c>
      <c r="F66" s="273" t="e">
        <f>F67+F68+F69+F70</f>
        <v>#REF!</v>
      </c>
      <c r="G66" s="273" t="e">
        <f>G67+G68+G69+G70</f>
        <v>#REF!</v>
      </c>
      <c r="H66" s="9">
        <f>'10 прил(гл.расп,расх)'!K786</f>
        <v>0</v>
      </c>
      <c r="I66" s="273" t="e">
        <f>I67+I68+I69+I70</f>
        <v>#REF!</v>
      </c>
    </row>
    <row r="67" spans="2:10" ht="29.25" hidden="1" customHeight="1">
      <c r="B67" s="124" t="s">
        <v>95</v>
      </c>
      <c r="C67" s="8" t="s">
        <v>34</v>
      </c>
      <c r="D67" s="8" t="s">
        <v>21</v>
      </c>
      <c r="E67" s="7" t="e">
        <f>'[1]10 прил(2011г)чистовик'!J702</f>
        <v>#REF!</v>
      </c>
      <c r="F67" s="7" t="e">
        <f>'[1]10 прил(2011г)чистовик'!K702</f>
        <v>#REF!</v>
      </c>
      <c r="G67" s="9" t="e">
        <f>'[1]10 прил(2011г)чистовик'!J702</f>
        <v>#REF!</v>
      </c>
      <c r="H67" s="9">
        <f>'10 прил(гл.расп,расх)'!K787</f>
        <v>0</v>
      </c>
      <c r="I67" s="9" t="e">
        <f>'[1]10 прил(2011г)чистовик'!L702</f>
        <v>#REF!</v>
      </c>
    </row>
    <row r="68" spans="2:10" ht="25.5" hidden="1" customHeight="1">
      <c r="B68" s="124" t="s">
        <v>96</v>
      </c>
      <c r="C68" s="8" t="s">
        <v>34</v>
      </c>
      <c r="D68" s="8" t="s">
        <v>22</v>
      </c>
      <c r="E68" s="7" t="e">
        <f>'[1]10 прил(2011г)чистовик'!J703</f>
        <v>#REF!</v>
      </c>
      <c r="F68" s="7" t="e">
        <f>'[1]10 прил(2011г)чистовик'!K703</f>
        <v>#REF!</v>
      </c>
      <c r="G68" s="9" t="e">
        <f>'[1]10 прил(2011г)чистовик'!J703</f>
        <v>#REF!</v>
      </c>
      <c r="H68" s="9">
        <f>'10 прил(гл.расп,расх)'!K788</f>
        <v>0</v>
      </c>
      <c r="I68" s="9" t="e">
        <f>'[1]10 прил(2011г)чистовик'!L703</f>
        <v>#REF!</v>
      </c>
    </row>
    <row r="69" spans="2:10" ht="30.75" hidden="1" customHeight="1">
      <c r="B69" s="124" t="s">
        <v>97</v>
      </c>
      <c r="C69" s="8" t="s">
        <v>34</v>
      </c>
      <c r="D69" s="8" t="s">
        <v>24</v>
      </c>
      <c r="E69" s="7" t="e">
        <f>'[1]10 прил(2011г)чистовик'!J704</f>
        <v>#REF!</v>
      </c>
      <c r="F69" s="7" t="e">
        <f>'[1]10 прил(2011г)чистовик'!K704</f>
        <v>#REF!</v>
      </c>
      <c r="G69" s="9" t="e">
        <f>'[1]10 прил(2011г)чистовик'!J704</f>
        <v>#REF!</v>
      </c>
      <c r="H69" s="9">
        <f>'10 прил(гл.расп,расх)'!K789</f>
        <v>0</v>
      </c>
      <c r="I69" s="9" t="e">
        <f>'[1]10 прил(2011г)чистовик'!L704</f>
        <v>#REF!</v>
      </c>
    </row>
    <row r="70" spans="2:10" ht="17.25" hidden="1" customHeight="1" thickBot="1">
      <c r="B70" s="124" t="s">
        <v>6</v>
      </c>
      <c r="C70" s="8" t="s">
        <v>34</v>
      </c>
      <c r="D70" s="8" t="s">
        <v>26</v>
      </c>
      <c r="E70" s="7" t="e">
        <f>'[1]10 прил(2011г)чистовик'!J705</f>
        <v>#REF!</v>
      </c>
      <c r="F70" s="7" t="e">
        <f>'[1]10 прил(2011г)чистовик'!K705</f>
        <v>#REF!</v>
      </c>
      <c r="G70" s="9" t="e">
        <f>'[1]10 прил(2011г)чистовик'!J705</f>
        <v>#REF!</v>
      </c>
      <c r="H70" s="9">
        <f>'10 прил(гл.расп,расх)'!K790</f>
        <v>0</v>
      </c>
      <c r="I70" s="9" t="e">
        <f>'[1]10 прил(2011г)чистовик'!L705</f>
        <v>#REF!</v>
      </c>
    </row>
    <row r="71" spans="2:10" ht="17.25" customHeight="1">
      <c r="B71" s="272" t="s">
        <v>82</v>
      </c>
      <c r="C71" s="660" t="s">
        <v>94</v>
      </c>
      <c r="D71" s="660"/>
      <c r="E71" s="273"/>
      <c r="F71" s="273"/>
      <c r="G71" s="274">
        <f>G72</f>
        <v>1347.183</v>
      </c>
      <c r="H71" s="274">
        <f>H72</f>
        <v>11</v>
      </c>
      <c r="I71" s="274">
        <f>I72</f>
        <v>1358.183</v>
      </c>
      <c r="J71" s="10">
        <f>SUM(G72)</f>
        <v>1347.183</v>
      </c>
    </row>
    <row r="72" spans="2:10" ht="17.25" customHeight="1">
      <c r="B72" s="124" t="s">
        <v>98</v>
      </c>
      <c r="C72" s="8" t="s">
        <v>34</v>
      </c>
      <c r="D72" s="8" t="s">
        <v>21</v>
      </c>
      <c r="E72" s="7"/>
      <c r="F72" s="7"/>
      <c r="G72" s="9">
        <f>'10 прил(гл.расп,расх)'!J792</f>
        <v>1347.183</v>
      </c>
      <c r="H72" s="9">
        <f>'10 прил(гл.расп,расх)'!K792</f>
        <v>11</v>
      </c>
      <c r="I72" s="9">
        <f>'10 прил(гл.расп,расх)'!L792</f>
        <v>1358.183</v>
      </c>
    </row>
    <row r="73" spans="2:10" ht="17.25" customHeight="1">
      <c r="B73" s="272" t="s">
        <v>99</v>
      </c>
      <c r="C73" s="660" t="s">
        <v>100</v>
      </c>
      <c r="D73" s="660"/>
      <c r="E73" s="273"/>
      <c r="F73" s="273"/>
      <c r="G73" s="274">
        <f>G74</f>
        <v>955.1</v>
      </c>
      <c r="H73" s="274">
        <f>H74</f>
        <v>11.621</v>
      </c>
      <c r="I73" s="274">
        <f>I74</f>
        <v>966.721</v>
      </c>
      <c r="J73" s="10">
        <f>G74</f>
        <v>955.1</v>
      </c>
    </row>
    <row r="74" spans="2:10" ht="17.25" customHeight="1">
      <c r="B74" s="124" t="s">
        <v>73</v>
      </c>
      <c r="C74" s="8" t="s">
        <v>36</v>
      </c>
      <c r="D74" s="8" t="s">
        <v>22</v>
      </c>
      <c r="E74" s="7"/>
      <c r="F74" s="7"/>
      <c r="G74" s="9">
        <f>'10 прил(гл.расп,расх)'!J795</f>
        <v>955.1</v>
      </c>
      <c r="H74" s="9">
        <f>'10 прил(гл.расп,расх)'!K795</f>
        <v>11.621</v>
      </c>
      <c r="I74" s="9">
        <f>'10 прил(гл.расп,расх)'!L795</f>
        <v>966.721</v>
      </c>
    </row>
    <row r="75" spans="2:10" ht="17.25" customHeight="1">
      <c r="B75" s="272" t="s">
        <v>33</v>
      </c>
      <c r="C75" s="660" t="s">
        <v>101</v>
      </c>
      <c r="D75" s="660"/>
      <c r="E75" s="7"/>
      <c r="F75" s="7"/>
      <c r="G75" s="274">
        <f>G76</f>
        <v>162.07</v>
      </c>
      <c r="H75" s="274">
        <f>H76</f>
        <v>0</v>
      </c>
      <c r="I75" s="274">
        <f>I76</f>
        <v>162.07</v>
      </c>
      <c r="J75" s="10">
        <f>G76</f>
        <v>162.07</v>
      </c>
    </row>
    <row r="76" spans="2:10" ht="28.5" customHeight="1">
      <c r="B76" s="124" t="s">
        <v>102</v>
      </c>
      <c r="C76" s="8" t="s">
        <v>37</v>
      </c>
      <c r="D76" s="8" t="s">
        <v>21</v>
      </c>
      <c r="E76" s="7"/>
      <c r="F76" s="7"/>
      <c r="G76" s="9">
        <f>'10 прил(гл.расп,расх)'!J799</f>
        <v>162.07</v>
      </c>
      <c r="H76" s="9">
        <f>'10 прил(гл.расп,расх)'!K799</f>
        <v>0</v>
      </c>
      <c r="I76" s="9">
        <f>'10 прил(гл.расп,расх)'!L799</f>
        <v>162.07</v>
      </c>
    </row>
    <row r="77" spans="2:10" ht="27.75" customHeight="1">
      <c r="B77" s="272" t="s">
        <v>103</v>
      </c>
      <c r="C77" s="660" t="s">
        <v>104</v>
      </c>
      <c r="D77" s="660"/>
      <c r="E77" s="273"/>
      <c r="F77" s="273"/>
      <c r="G77" s="274">
        <f>G78+G79+G80</f>
        <v>33917.269999999997</v>
      </c>
      <c r="H77" s="274">
        <f>H78+H79+H80</f>
        <v>783.726</v>
      </c>
      <c r="I77" s="274">
        <f>I78+I79+I80</f>
        <v>34700.995999999999</v>
      </c>
      <c r="J77" s="10">
        <f>SUM(G78:G80)</f>
        <v>33917.269999999997</v>
      </c>
    </row>
    <row r="78" spans="2:10" ht="28.5" customHeight="1">
      <c r="B78" s="124" t="s">
        <v>105</v>
      </c>
      <c r="C78" s="8" t="s">
        <v>39</v>
      </c>
      <c r="D78" s="8" t="s">
        <v>21</v>
      </c>
      <c r="E78" s="7"/>
      <c r="F78" s="7"/>
      <c r="G78" s="9">
        <f>'10 прил(гл.расп,расх)'!J802</f>
        <v>25131.67</v>
      </c>
      <c r="H78" s="9">
        <f>'10 прил(гл.расп,расх)'!K802</f>
        <v>0</v>
      </c>
      <c r="I78" s="9">
        <f>'10 прил(гл.расп,расх)'!L802</f>
        <v>25131.67</v>
      </c>
    </row>
    <row r="79" spans="2:10" ht="17.25" hidden="1" customHeight="1">
      <c r="B79" s="124" t="s">
        <v>106</v>
      </c>
      <c r="C79" s="8" t="s">
        <v>39</v>
      </c>
      <c r="D79" s="8" t="s">
        <v>22</v>
      </c>
      <c r="E79" s="7"/>
      <c r="F79" s="7"/>
      <c r="G79" s="9"/>
      <c r="H79" s="9">
        <f>'10 прил(гл.расп,расх)'!K803</f>
        <v>0</v>
      </c>
      <c r="I79" s="9">
        <f>G79+H79</f>
        <v>0</v>
      </c>
    </row>
    <row r="80" spans="2:10" ht="30.75" customHeight="1">
      <c r="B80" s="124" t="s">
        <v>107</v>
      </c>
      <c r="C80" s="8" t="s">
        <v>39</v>
      </c>
      <c r="D80" s="8" t="s">
        <v>24</v>
      </c>
      <c r="E80" s="7"/>
      <c r="F80" s="7"/>
      <c r="G80" s="9">
        <f>'10 прил(гл.расп,расх)'!J804</f>
        <v>8785.6</v>
      </c>
      <c r="H80" s="9">
        <f>'10 прил(гл.расп,расх)'!K804</f>
        <v>783.726</v>
      </c>
      <c r="I80" s="9">
        <f>'10 прил(гл.расп,расх)'!L804</f>
        <v>9569.3260000000009</v>
      </c>
    </row>
    <row r="81" spans="2:9">
      <c r="B81" s="272" t="s">
        <v>108</v>
      </c>
      <c r="C81" s="275"/>
      <c r="D81" s="275"/>
      <c r="E81" s="273" t="e">
        <f>E9+E25+E29+E36+E41+E47+E52+E60+E66</f>
        <v>#REF!</v>
      </c>
      <c r="F81" s="273" t="e">
        <f>F9+F25+F29+F36+F41+F47+F52+F60+F66</f>
        <v>#REF!</v>
      </c>
      <c r="G81" s="273">
        <f>G9+G23+G25+G29+G36+G41+G47+G52+G60+G71+G73+G75+G77</f>
        <v>565510.98298999993</v>
      </c>
      <c r="H81" s="273">
        <f>'10 прил(гл.расп,расх)'!K805</f>
        <v>61254.738119999995</v>
      </c>
      <c r="I81" s="273">
        <f>'10 прил(гл.расп,расх)'!L805</f>
        <v>626765.72110999993</v>
      </c>
    </row>
    <row r="82" spans="2:9">
      <c r="F82" s="10"/>
      <c r="G82" s="156">
        <v>565846.98299000005</v>
      </c>
      <c r="H82" s="10"/>
      <c r="I82" s="156">
        <v>565846.98299000005</v>
      </c>
    </row>
    <row r="83" spans="2:9">
      <c r="E83" s="10"/>
      <c r="F83" s="10"/>
      <c r="G83" s="10">
        <f>G81-G82</f>
        <v>-336.00000000011642</v>
      </c>
      <c r="H83" s="10">
        <f t="shared" ref="H83:I83" si="1">H81-H82</f>
        <v>61254.738119999995</v>
      </c>
      <c r="I83" s="10">
        <f t="shared" si="1"/>
        <v>60918.738119999878</v>
      </c>
    </row>
  </sheetData>
  <mergeCells count="18">
    <mergeCell ref="C47:D47"/>
    <mergeCell ref="C2:I2"/>
    <mergeCell ref="C3:I3"/>
    <mergeCell ref="B5:I5"/>
    <mergeCell ref="B6:I6"/>
    <mergeCell ref="C9:D9"/>
    <mergeCell ref="C23:D23"/>
    <mergeCell ref="C25:D25"/>
    <mergeCell ref="C29:D29"/>
    <mergeCell ref="C36:D36"/>
    <mergeCell ref="C41:D41"/>
    <mergeCell ref="C77:D77"/>
    <mergeCell ref="C52:D52"/>
    <mergeCell ref="C60:D60"/>
    <mergeCell ref="C66:D66"/>
    <mergeCell ref="C71:D71"/>
    <mergeCell ref="C73:D73"/>
    <mergeCell ref="C75:D75"/>
  </mergeCells>
  <pageMargins left="0.98425196850393704" right="0.39370078740157483" top="0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2:T1014"/>
  <sheetViews>
    <sheetView view="pageBreakPreview" zoomScale="75" zoomScaleSheetLayoutView="75" workbookViewId="0">
      <selection activeCell="L730" sqref="L730"/>
    </sheetView>
  </sheetViews>
  <sheetFormatPr defaultRowHeight="15"/>
  <cols>
    <col min="1" max="1" width="35.85546875" style="11" customWidth="1"/>
    <col min="2" max="2" width="7" style="11" customWidth="1"/>
    <col min="3" max="3" width="6.7109375" style="11" customWidth="1"/>
    <col min="4" max="4" width="5.140625" style="11" customWidth="1"/>
    <col min="5" max="5" width="9.7109375" style="11" customWidth="1"/>
    <col min="6" max="6" width="5.5703125" style="11" customWidth="1"/>
    <col min="7" max="7" width="0.140625" style="11" customWidth="1"/>
    <col min="8" max="8" width="13.85546875" style="11" hidden="1" customWidth="1"/>
    <col min="9" max="9" width="12.5703125" style="11" hidden="1" customWidth="1"/>
    <col min="10" max="10" width="14.42578125" style="156" customWidth="1"/>
    <col min="11" max="11" width="14.7109375" style="619" customWidth="1"/>
    <col min="12" max="12" width="16" style="619" customWidth="1"/>
    <col min="13" max="13" width="13.28515625" style="12" hidden="1" customWidth="1"/>
    <col min="14" max="14" width="13.85546875" style="12" hidden="1" customWidth="1"/>
    <col min="15" max="15" width="14.85546875" style="11" customWidth="1"/>
    <col min="16" max="16" width="12.85546875" style="11" bestFit="1" customWidth="1"/>
    <col min="17" max="17" width="14.140625" style="11" hidden="1" customWidth="1"/>
    <col min="18" max="18" width="14" style="11" bestFit="1" customWidth="1"/>
    <col min="19" max="19" width="13.28515625" style="11" customWidth="1"/>
    <col min="20" max="20" width="11" style="11" bestFit="1" customWidth="1"/>
    <col min="21" max="16384" width="9.140625" style="11"/>
  </cols>
  <sheetData>
    <row r="2" spans="1:18">
      <c r="E2" s="673" t="s">
        <v>1220</v>
      </c>
      <c r="F2" s="674"/>
      <c r="G2" s="674"/>
      <c r="H2" s="674"/>
      <c r="I2" s="674"/>
      <c r="J2" s="674"/>
    </row>
    <row r="3" spans="1:18" ht="40.5" customHeight="1">
      <c r="E3" s="675" t="s">
        <v>1221</v>
      </c>
      <c r="F3" s="675"/>
      <c r="G3" s="675"/>
      <c r="H3" s="675"/>
      <c r="I3" s="675"/>
      <c r="J3" s="675"/>
      <c r="K3" s="675"/>
      <c r="L3" s="675"/>
      <c r="M3" s="676"/>
      <c r="N3" s="676"/>
    </row>
    <row r="4" spans="1:18">
      <c r="E4" s="13"/>
      <c r="F4" s="13"/>
      <c r="G4" s="13"/>
      <c r="H4" s="13"/>
      <c r="I4" s="13"/>
      <c r="J4" s="620"/>
      <c r="K4" s="620"/>
      <c r="L4" s="620"/>
      <c r="M4" s="4"/>
      <c r="N4" s="4"/>
      <c r="O4" s="14">
        <f>L164+L209+L217+L413+L431+L435+L437+L446+L678</f>
        <v>22889.347999999998</v>
      </c>
      <c r="P4" s="15">
        <f>L144+L469</f>
        <v>1994.75</v>
      </c>
    </row>
    <row r="5" spans="1:18">
      <c r="A5" s="677" t="s">
        <v>109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4"/>
      <c r="N5" s="4"/>
    </row>
    <row r="6" spans="1:18" ht="51" customHeight="1">
      <c r="A6" s="670" t="s">
        <v>110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11"/>
      <c r="N6" s="11"/>
    </row>
    <row r="7" spans="1:18" ht="15.75" thickBot="1"/>
    <row r="8" spans="1:18" ht="12.75" customHeight="1">
      <c r="A8" s="672" t="s">
        <v>111</v>
      </c>
      <c r="B8" s="672" t="s">
        <v>112</v>
      </c>
      <c r="C8" s="672"/>
      <c r="D8" s="672"/>
      <c r="E8" s="672"/>
      <c r="F8" s="672"/>
      <c r="G8" s="680" t="s">
        <v>113</v>
      </c>
      <c r="H8" s="681" t="s">
        <v>114</v>
      </c>
      <c r="I8" s="672" t="s">
        <v>113</v>
      </c>
      <c r="J8" s="684" t="s">
        <v>115</v>
      </c>
      <c r="K8" s="686" t="s">
        <v>113</v>
      </c>
      <c r="L8" s="688" t="s">
        <v>116</v>
      </c>
      <c r="M8" s="690" t="s">
        <v>113</v>
      </c>
      <c r="N8" s="693" t="s">
        <v>117</v>
      </c>
    </row>
    <row r="9" spans="1:18">
      <c r="A9" s="672"/>
      <c r="B9" s="672" t="s">
        <v>118</v>
      </c>
      <c r="C9" s="672"/>
      <c r="D9" s="672"/>
      <c r="E9" s="672"/>
      <c r="F9" s="672"/>
      <c r="G9" s="680"/>
      <c r="H9" s="682"/>
      <c r="I9" s="683"/>
      <c r="J9" s="685"/>
      <c r="K9" s="687"/>
      <c r="L9" s="689"/>
      <c r="M9" s="691"/>
      <c r="N9" s="694"/>
    </row>
    <row r="10" spans="1:18" ht="129" customHeight="1" thickBot="1">
      <c r="A10" s="672"/>
      <c r="B10" s="578" t="s">
        <v>119</v>
      </c>
      <c r="C10" s="564" t="s">
        <v>120</v>
      </c>
      <c r="D10" s="564" t="s">
        <v>121</v>
      </c>
      <c r="E10" s="564" t="s">
        <v>122</v>
      </c>
      <c r="F10" s="564" t="s">
        <v>123</v>
      </c>
      <c r="G10" s="680"/>
      <c r="H10" s="682"/>
      <c r="I10" s="683"/>
      <c r="J10" s="685"/>
      <c r="K10" s="687"/>
      <c r="L10" s="689"/>
      <c r="M10" s="692"/>
      <c r="N10" s="695"/>
    </row>
    <row r="11" spans="1:18" ht="15.75" thickBot="1">
      <c r="A11" s="579" t="s">
        <v>0</v>
      </c>
      <c r="B11" s="579">
        <v>1</v>
      </c>
      <c r="C11" s="579">
        <v>2</v>
      </c>
      <c r="D11" s="579">
        <v>3</v>
      </c>
      <c r="E11" s="579">
        <v>4</v>
      </c>
      <c r="F11" s="579">
        <v>5</v>
      </c>
      <c r="G11" s="579"/>
      <c r="H11" s="580"/>
      <c r="I11" s="581"/>
      <c r="J11" s="621">
        <v>6</v>
      </c>
      <c r="K11" s="622">
        <v>7</v>
      </c>
      <c r="L11" s="623">
        <v>8</v>
      </c>
      <c r="M11" s="16">
        <v>7</v>
      </c>
      <c r="N11" s="17">
        <v>8</v>
      </c>
    </row>
    <row r="12" spans="1:18" ht="15.75" thickBot="1">
      <c r="A12" s="582" t="s">
        <v>124</v>
      </c>
      <c r="B12" s="583" t="s">
        <v>125</v>
      </c>
      <c r="C12" s="26"/>
      <c r="D12" s="26"/>
      <c r="E12" s="26"/>
      <c r="F12" s="26"/>
      <c r="G12" s="584">
        <f t="shared" ref="G12:M12" si="0">G13+G20</f>
        <v>749.74423999999999</v>
      </c>
      <c r="H12" s="584">
        <f t="shared" si="0"/>
        <v>38033.199999999997</v>
      </c>
      <c r="I12" s="584">
        <f t="shared" si="0"/>
        <v>0</v>
      </c>
      <c r="J12" s="624">
        <f t="shared" si="0"/>
        <v>21432.538570000001</v>
      </c>
      <c r="K12" s="625">
        <f t="shared" si="0"/>
        <v>694.17711999999983</v>
      </c>
      <c r="L12" s="625">
        <f>L13+L20</f>
        <v>22126.715690000001</v>
      </c>
      <c r="M12" s="18">
        <f t="shared" si="0"/>
        <v>-317.84000000000003</v>
      </c>
      <c r="N12" s="19">
        <f>N13+N20</f>
        <v>16242.11</v>
      </c>
      <c r="O12" s="20">
        <f>L12-L30-L59-L64</f>
        <v>14581.015690000002</v>
      </c>
      <c r="P12" s="11">
        <v>8935.25</v>
      </c>
      <c r="R12" s="15">
        <f>O12-P12</f>
        <v>5645.765690000002</v>
      </c>
    </row>
    <row r="13" spans="1:18" hidden="1">
      <c r="A13" s="585" t="s">
        <v>126</v>
      </c>
      <c r="B13" s="586" t="s">
        <v>125</v>
      </c>
      <c r="C13" s="586" t="s">
        <v>32</v>
      </c>
      <c r="D13" s="26"/>
      <c r="E13" s="26"/>
      <c r="F13" s="26"/>
      <c r="G13" s="587">
        <f t="shared" ref="G13:N16" si="1">G14</f>
        <v>0</v>
      </c>
      <c r="H13" s="587">
        <f t="shared" si="1"/>
        <v>131</v>
      </c>
      <c r="I13" s="587">
        <f t="shared" si="1"/>
        <v>0</v>
      </c>
      <c r="J13" s="626">
        <f t="shared" si="1"/>
        <v>0</v>
      </c>
      <c r="K13" s="379">
        <f t="shared" si="1"/>
        <v>0</v>
      </c>
      <c r="L13" s="379">
        <f>L14</f>
        <v>0</v>
      </c>
      <c r="M13" s="22">
        <f>M14</f>
        <v>0</v>
      </c>
      <c r="N13" s="23">
        <f>N14</f>
        <v>0</v>
      </c>
    </row>
    <row r="14" spans="1:18" ht="43.5" hidden="1">
      <c r="A14" s="24" t="s">
        <v>127</v>
      </c>
      <c r="B14" s="25" t="s">
        <v>125</v>
      </c>
      <c r="C14" s="25" t="s">
        <v>32</v>
      </c>
      <c r="D14" s="25" t="s">
        <v>28</v>
      </c>
      <c r="E14" s="26"/>
      <c r="F14" s="26"/>
      <c r="G14" s="589">
        <f t="shared" ref="G14:M14" si="2">G15+G18</f>
        <v>0</v>
      </c>
      <c r="H14" s="589">
        <f t="shared" si="2"/>
        <v>131</v>
      </c>
      <c r="I14" s="589">
        <f t="shared" si="2"/>
        <v>0</v>
      </c>
      <c r="J14" s="627">
        <f t="shared" si="2"/>
        <v>0</v>
      </c>
      <c r="K14" s="627">
        <f t="shared" si="2"/>
        <v>0</v>
      </c>
      <c r="L14" s="627">
        <f t="shared" si="2"/>
        <v>0</v>
      </c>
      <c r="M14" s="29">
        <f t="shared" si="2"/>
        <v>0</v>
      </c>
      <c r="N14" s="30">
        <f>N15+N18</f>
        <v>0</v>
      </c>
    </row>
    <row r="15" spans="1:18" ht="30" hidden="1">
      <c r="A15" s="31" t="s">
        <v>128</v>
      </c>
      <c r="B15" s="26" t="s">
        <v>125</v>
      </c>
      <c r="C15" s="26" t="s">
        <v>32</v>
      </c>
      <c r="D15" s="26" t="s">
        <v>28</v>
      </c>
      <c r="E15" s="26" t="s">
        <v>129</v>
      </c>
      <c r="F15" s="26"/>
      <c r="G15" s="589">
        <f t="shared" si="1"/>
        <v>-125</v>
      </c>
      <c r="H15" s="589">
        <f t="shared" si="1"/>
        <v>131</v>
      </c>
      <c r="I15" s="589">
        <f t="shared" si="1"/>
        <v>0</v>
      </c>
      <c r="J15" s="627">
        <f t="shared" si="1"/>
        <v>0</v>
      </c>
      <c r="K15" s="627">
        <f t="shared" si="1"/>
        <v>0</v>
      </c>
      <c r="L15" s="627">
        <f t="shared" si="1"/>
        <v>0</v>
      </c>
      <c r="M15" s="29">
        <f t="shared" si="1"/>
        <v>0</v>
      </c>
      <c r="N15" s="30">
        <f t="shared" si="1"/>
        <v>0</v>
      </c>
    </row>
    <row r="16" spans="1:18" ht="30" hidden="1">
      <c r="A16" s="31" t="s">
        <v>130</v>
      </c>
      <c r="B16" s="26" t="s">
        <v>125</v>
      </c>
      <c r="C16" s="26" t="s">
        <v>32</v>
      </c>
      <c r="D16" s="26" t="s">
        <v>28</v>
      </c>
      <c r="E16" s="26" t="s">
        <v>131</v>
      </c>
      <c r="F16" s="26"/>
      <c r="G16" s="589">
        <f t="shared" si="1"/>
        <v>-125</v>
      </c>
      <c r="H16" s="589">
        <f>H17</f>
        <v>131</v>
      </c>
      <c r="I16" s="589">
        <f t="shared" si="1"/>
        <v>0</v>
      </c>
      <c r="J16" s="627">
        <f t="shared" si="1"/>
        <v>0</v>
      </c>
      <c r="K16" s="627">
        <f t="shared" si="1"/>
        <v>0</v>
      </c>
      <c r="L16" s="627">
        <f t="shared" si="1"/>
        <v>0</v>
      </c>
      <c r="M16" s="29">
        <f t="shared" si="1"/>
        <v>0</v>
      </c>
      <c r="N16" s="30">
        <f t="shared" si="1"/>
        <v>0</v>
      </c>
    </row>
    <row r="17" spans="1:19" ht="30" hidden="1">
      <c r="A17" s="31" t="s">
        <v>132</v>
      </c>
      <c r="B17" s="26" t="s">
        <v>125</v>
      </c>
      <c r="C17" s="26" t="s">
        <v>32</v>
      </c>
      <c r="D17" s="26" t="s">
        <v>28</v>
      </c>
      <c r="E17" s="26" t="s">
        <v>131</v>
      </c>
      <c r="F17" s="26" t="s">
        <v>133</v>
      </c>
      <c r="G17" s="589">
        <v>-125</v>
      </c>
      <c r="H17" s="589">
        <v>131</v>
      </c>
      <c r="I17" s="589"/>
      <c r="J17" s="627">
        <v>0</v>
      </c>
      <c r="K17" s="627"/>
      <c r="L17" s="627">
        <f>J17+K17</f>
        <v>0</v>
      </c>
      <c r="M17" s="29"/>
      <c r="N17" s="30">
        <f>L17+M17</f>
        <v>0</v>
      </c>
      <c r="O17" s="32"/>
    </row>
    <row r="18" spans="1:19" ht="30" hidden="1">
      <c r="A18" s="31" t="s">
        <v>130</v>
      </c>
      <c r="B18" s="26" t="s">
        <v>125</v>
      </c>
      <c r="C18" s="26" t="s">
        <v>32</v>
      </c>
      <c r="D18" s="26" t="s">
        <v>28</v>
      </c>
      <c r="E18" s="26" t="s">
        <v>134</v>
      </c>
      <c r="F18" s="26"/>
      <c r="G18" s="589">
        <f t="shared" ref="G18:N18" si="3">G19</f>
        <v>125</v>
      </c>
      <c r="H18" s="589">
        <f t="shared" si="3"/>
        <v>0</v>
      </c>
      <c r="I18" s="589">
        <f t="shared" si="3"/>
        <v>0</v>
      </c>
      <c r="J18" s="627">
        <f t="shared" si="3"/>
        <v>0</v>
      </c>
      <c r="K18" s="627">
        <f t="shared" si="3"/>
        <v>0</v>
      </c>
      <c r="L18" s="627">
        <f t="shared" si="3"/>
        <v>0</v>
      </c>
      <c r="M18" s="29">
        <f t="shared" si="3"/>
        <v>0</v>
      </c>
      <c r="N18" s="30">
        <f t="shared" si="3"/>
        <v>0</v>
      </c>
    </row>
    <row r="19" spans="1:19" ht="30" hidden="1">
      <c r="A19" s="31" t="s">
        <v>135</v>
      </c>
      <c r="B19" s="26" t="s">
        <v>125</v>
      </c>
      <c r="C19" s="26" t="s">
        <v>32</v>
      </c>
      <c r="D19" s="26" t="s">
        <v>28</v>
      </c>
      <c r="E19" s="26" t="s">
        <v>134</v>
      </c>
      <c r="F19" s="26" t="s">
        <v>133</v>
      </c>
      <c r="G19" s="589">
        <v>125</v>
      </c>
      <c r="H19" s="589"/>
      <c r="I19" s="589"/>
      <c r="J19" s="627"/>
      <c r="K19" s="627"/>
      <c r="L19" s="627">
        <f>J19+K19</f>
        <v>0</v>
      </c>
      <c r="M19" s="29"/>
      <c r="N19" s="30">
        <f>L19+M19</f>
        <v>0</v>
      </c>
    </row>
    <row r="20" spans="1:19">
      <c r="A20" s="33" t="s">
        <v>136</v>
      </c>
      <c r="B20" s="34" t="s">
        <v>125</v>
      </c>
      <c r="C20" s="34" t="s">
        <v>47</v>
      </c>
      <c r="D20" s="26"/>
      <c r="E20" s="26"/>
      <c r="F20" s="26"/>
      <c r="G20" s="589">
        <f t="shared" ref="G20:M20" si="4">G21+G40+G83+G60</f>
        <v>749.74423999999999</v>
      </c>
      <c r="H20" s="589">
        <f t="shared" si="4"/>
        <v>37902.199999999997</v>
      </c>
      <c r="I20" s="589">
        <f t="shared" si="4"/>
        <v>0</v>
      </c>
      <c r="J20" s="627">
        <f>J21+J40+J83+J60+J65</f>
        <v>21432.538570000001</v>
      </c>
      <c r="K20" s="627">
        <f>K21+K40+K83+K60+K65</f>
        <v>694.17711999999983</v>
      </c>
      <c r="L20" s="627">
        <f>L21+L40+L83+L60+L65</f>
        <v>22126.715690000001</v>
      </c>
      <c r="M20" s="29">
        <f t="shared" si="4"/>
        <v>-317.84000000000003</v>
      </c>
      <c r="N20" s="30">
        <f>N21+N40+N83+N60</f>
        <v>16242.11</v>
      </c>
    </row>
    <row r="21" spans="1:19" ht="29.25" customHeight="1">
      <c r="A21" s="24" t="s">
        <v>78</v>
      </c>
      <c r="B21" s="25" t="s">
        <v>125</v>
      </c>
      <c r="C21" s="25" t="s">
        <v>47</v>
      </c>
      <c r="D21" s="25" t="s">
        <v>21</v>
      </c>
      <c r="E21" s="26"/>
      <c r="F21" s="26"/>
      <c r="G21" s="587">
        <f>G27+G31+G22</f>
        <v>-5232</v>
      </c>
      <c r="H21" s="587">
        <f>H27+H31+H22</f>
        <v>30796.129999999997</v>
      </c>
      <c r="I21" s="587">
        <f>I27+I31+I22</f>
        <v>0</v>
      </c>
      <c r="J21" s="379">
        <f>J27+J31+J22+J38+J25</f>
        <v>14571.83857</v>
      </c>
      <c r="K21" s="379">
        <f>K27+K31+K22+K38+K25</f>
        <v>870.71311999999989</v>
      </c>
      <c r="L21" s="379">
        <f>L27+L31+L22+L38+L25</f>
        <v>15442.55169</v>
      </c>
      <c r="M21" s="37">
        <f>M27+M31+M22+M38</f>
        <v>-1006.6600000000001</v>
      </c>
      <c r="N21" s="38">
        <f>N27+N31+N22+N38</f>
        <v>11268.126</v>
      </c>
    </row>
    <row r="22" spans="1:19" ht="29.25" hidden="1" customHeight="1">
      <c r="A22" s="39" t="s">
        <v>137</v>
      </c>
      <c r="B22" s="26" t="s">
        <v>125</v>
      </c>
      <c r="C22" s="26" t="s">
        <v>47</v>
      </c>
      <c r="D22" s="26" t="s">
        <v>21</v>
      </c>
      <c r="E22" s="26" t="s">
        <v>138</v>
      </c>
      <c r="F22" s="26"/>
      <c r="G22" s="585">
        <f t="shared" ref="G22:N23" si="5">G23</f>
        <v>320</v>
      </c>
      <c r="H22" s="585">
        <f t="shared" si="5"/>
        <v>0</v>
      </c>
      <c r="I22" s="585">
        <f t="shared" si="5"/>
        <v>0</v>
      </c>
      <c r="J22" s="379">
        <f t="shared" si="5"/>
        <v>0</v>
      </c>
      <c r="K22" s="379">
        <f t="shared" si="5"/>
        <v>0</v>
      </c>
      <c r="L22" s="379">
        <f t="shared" si="5"/>
        <v>0</v>
      </c>
      <c r="M22" s="40">
        <f t="shared" si="5"/>
        <v>0</v>
      </c>
      <c r="N22" s="41">
        <f t="shared" si="5"/>
        <v>0</v>
      </c>
    </row>
    <row r="23" spans="1:19" ht="21.75" hidden="1" customHeight="1">
      <c r="A23" s="39" t="s">
        <v>139</v>
      </c>
      <c r="B23" s="26" t="s">
        <v>125</v>
      </c>
      <c r="C23" s="26" t="s">
        <v>47</v>
      </c>
      <c r="D23" s="26" t="s">
        <v>21</v>
      </c>
      <c r="E23" s="26" t="s">
        <v>140</v>
      </c>
      <c r="F23" s="26"/>
      <c r="G23" s="585">
        <f t="shared" si="5"/>
        <v>320</v>
      </c>
      <c r="H23" s="585">
        <f t="shared" si="5"/>
        <v>0</v>
      </c>
      <c r="I23" s="585">
        <f t="shared" si="5"/>
        <v>0</v>
      </c>
      <c r="J23" s="379">
        <f t="shared" si="5"/>
        <v>0</v>
      </c>
      <c r="K23" s="379">
        <f t="shared" si="5"/>
        <v>0</v>
      </c>
      <c r="L23" s="379">
        <f t="shared" si="5"/>
        <v>0</v>
      </c>
      <c r="M23" s="40">
        <f t="shared" si="5"/>
        <v>0</v>
      </c>
      <c r="N23" s="41">
        <f t="shared" si="5"/>
        <v>0</v>
      </c>
    </row>
    <row r="24" spans="1:19" ht="23.25" hidden="1" customHeight="1">
      <c r="A24" s="31" t="s">
        <v>141</v>
      </c>
      <c r="B24" s="26" t="s">
        <v>125</v>
      </c>
      <c r="C24" s="26" t="s">
        <v>47</v>
      </c>
      <c r="D24" s="26" t="s">
        <v>21</v>
      </c>
      <c r="E24" s="26" t="s">
        <v>140</v>
      </c>
      <c r="F24" s="26" t="s">
        <v>142</v>
      </c>
      <c r="G24" s="585">
        <v>320</v>
      </c>
      <c r="H24" s="589"/>
      <c r="I24" s="585"/>
      <c r="J24" s="627">
        <f>H24+I24</f>
        <v>0</v>
      </c>
      <c r="K24" s="379"/>
      <c r="L24" s="627">
        <f>J24+K24</f>
        <v>0</v>
      </c>
      <c r="M24" s="40"/>
      <c r="N24" s="30">
        <f>L24+M24</f>
        <v>0</v>
      </c>
    </row>
    <row r="25" spans="1:19" ht="90">
      <c r="A25" s="31" t="s">
        <v>1071</v>
      </c>
      <c r="B25" s="26" t="s">
        <v>125</v>
      </c>
      <c r="C25" s="26" t="s">
        <v>47</v>
      </c>
      <c r="D25" s="26" t="s">
        <v>21</v>
      </c>
      <c r="E25" s="26" t="s">
        <v>1070</v>
      </c>
      <c r="F25" s="26"/>
      <c r="G25" s="585"/>
      <c r="H25" s="589"/>
      <c r="I25" s="585"/>
      <c r="J25" s="627">
        <f>J26</f>
        <v>1726.5885699999999</v>
      </c>
      <c r="K25" s="627">
        <f>K26</f>
        <v>694.17711999999995</v>
      </c>
      <c r="L25" s="627">
        <f>L26</f>
        <v>2420.7656899999997</v>
      </c>
      <c r="M25" s="40"/>
      <c r="N25" s="30"/>
    </row>
    <row r="26" spans="1:19" ht="30">
      <c r="A26" s="31" t="s">
        <v>141</v>
      </c>
      <c r="B26" s="26" t="s">
        <v>125</v>
      </c>
      <c r="C26" s="26" t="s">
        <v>47</v>
      </c>
      <c r="D26" s="26" t="s">
        <v>21</v>
      </c>
      <c r="E26" s="26" t="s">
        <v>1070</v>
      </c>
      <c r="F26" s="26" t="s">
        <v>142</v>
      </c>
      <c r="G26" s="585"/>
      <c r="H26" s="589"/>
      <c r="I26" s="585"/>
      <c r="J26" s="627">
        <v>1726.5885699999999</v>
      </c>
      <c r="K26" s="627">
        <v>694.17711999999995</v>
      </c>
      <c r="L26" s="627">
        <f>J26+K26</f>
        <v>2420.7656899999997</v>
      </c>
      <c r="M26" s="40"/>
      <c r="N26" s="30"/>
    </row>
    <row r="27" spans="1:19" ht="30">
      <c r="A27" s="31" t="s">
        <v>143</v>
      </c>
      <c r="B27" s="26" t="s">
        <v>125</v>
      </c>
      <c r="C27" s="26" t="s">
        <v>47</v>
      </c>
      <c r="D27" s="26" t="s">
        <v>21</v>
      </c>
      <c r="E27" s="26" t="s">
        <v>144</v>
      </c>
      <c r="F27" s="26"/>
      <c r="G27" s="147">
        <f t="shared" ref="G27:N27" si="6">G28</f>
        <v>-1834</v>
      </c>
      <c r="H27" s="147">
        <f t="shared" si="6"/>
        <v>26303.19</v>
      </c>
      <c r="I27" s="147">
        <f t="shared" si="6"/>
        <v>0</v>
      </c>
      <c r="J27" s="627">
        <f>J28</f>
        <v>12845.25</v>
      </c>
      <c r="K27" s="627">
        <f t="shared" si="6"/>
        <v>176.536</v>
      </c>
      <c r="L27" s="627">
        <f t="shared" si="6"/>
        <v>13021.786</v>
      </c>
      <c r="M27" s="42">
        <f t="shared" si="6"/>
        <v>-1747.96</v>
      </c>
      <c r="N27" s="43">
        <f t="shared" si="6"/>
        <v>10526.826000000001</v>
      </c>
    </row>
    <row r="28" spans="1:19" ht="30">
      <c r="A28" s="31" t="s">
        <v>145</v>
      </c>
      <c r="B28" s="26" t="s">
        <v>125</v>
      </c>
      <c r="C28" s="26" t="s">
        <v>47</v>
      </c>
      <c r="D28" s="26" t="s">
        <v>21</v>
      </c>
      <c r="E28" s="26" t="s">
        <v>146</v>
      </c>
      <c r="F28" s="26"/>
      <c r="G28" s="147">
        <f t="shared" ref="G28:M28" si="7">G29+G30</f>
        <v>-1834</v>
      </c>
      <c r="H28" s="147">
        <f t="shared" si="7"/>
        <v>26303.19</v>
      </c>
      <c r="I28" s="147">
        <f t="shared" si="7"/>
        <v>0</v>
      </c>
      <c r="J28" s="627">
        <f>J29+J30+J34+J36</f>
        <v>12845.25</v>
      </c>
      <c r="K28" s="627">
        <f>K29+K30+K34+K36</f>
        <v>176.536</v>
      </c>
      <c r="L28" s="627">
        <f>L29+L30+L34+L36</f>
        <v>13021.786</v>
      </c>
      <c r="M28" s="42">
        <f t="shared" si="7"/>
        <v>-1747.96</v>
      </c>
      <c r="N28" s="43">
        <f>N29+N30</f>
        <v>10526.826000000001</v>
      </c>
    </row>
    <row r="29" spans="1:19" ht="30">
      <c r="A29" s="31" t="s">
        <v>141</v>
      </c>
      <c r="B29" s="26" t="s">
        <v>125</v>
      </c>
      <c r="C29" s="26" t="s">
        <v>47</v>
      </c>
      <c r="D29" s="26" t="s">
        <v>21</v>
      </c>
      <c r="E29" s="26" t="s">
        <v>146</v>
      </c>
      <c r="F29" s="26" t="s">
        <v>142</v>
      </c>
      <c r="G29" s="147">
        <f>-2164-3718+200-200+220+3718</f>
        <v>-1944</v>
      </c>
      <c r="H29" s="589">
        <v>25958.19</v>
      </c>
      <c r="I29" s="147"/>
      <c r="J29" s="627">
        <v>7436.25</v>
      </c>
      <c r="K29" s="627">
        <v>176.536</v>
      </c>
      <c r="L29" s="627">
        <f>J29+K29</f>
        <v>7612.7860000000001</v>
      </c>
      <c r="M29" s="42">
        <f>-155.84+35.88-1595-33</f>
        <v>-1747.96</v>
      </c>
      <c r="N29" s="30">
        <f>L29+M29</f>
        <v>5864.826</v>
      </c>
      <c r="O29" s="44">
        <v>6820.25</v>
      </c>
      <c r="P29" s="45">
        <f>L29-O29</f>
        <v>792.53600000000006</v>
      </c>
    </row>
    <row r="30" spans="1:19" ht="60">
      <c r="A30" s="31" t="s">
        <v>147</v>
      </c>
      <c r="B30" s="26" t="s">
        <v>125</v>
      </c>
      <c r="C30" s="26" t="s">
        <v>47</v>
      </c>
      <c r="D30" s="26" t="s">
        <v>21</v>
      </c>
      <c r="E30" s="26" t="s">
        <v>148</v>
      </c>
      <c r="F30" s="26" t="s">
        <v>142</v>
      </c>
      <c r="G30" s="589">
        <v>110</v>
      </c>
      <c r="H30" s="589">
        <v>345</v>
      </c>
      <c r="I30" s="589"/>
      <c r="J30" s="627">
        <v>4662</v>
      </c>
      <c r="K30" s="627"/>
      <c r="L30" s="627">
        <f>J30+K30</f>
        <v>4662</v>
      </c>
      <c r="M30" s="29"/>
      <c r="N30" s="30">
        <f>L30+M30</f>
        <v>4662</v>
      </c>
      <c r="O30" s="11">
        <v>4662</v>
      </c>
      <c r="P30" s="15">
        <f>L30-O30</f>
        <v>0</v>
      </c>
      <c r="S30" s="15">
        <f>L30+L117+L707+L157</f>
        <v>10008.799999999999</v>
      </c>
    </row>
    <row r="31" spans="1:19" ht="24.75" customHeight="1">
      <c r="A31" s="31" t="s">
        <v>149</v>
      </c>
      <c r="B31" s="26" t="s">
        <v>125</v>
      </c>
      <c r="C31" s="26" t="s">
        <v>47</v>
      </c>
      <c r="D31" s="26" t="s">
        <v>21</v>
      </c>
      <c r="E31" s="26" t="s">
        <v>150</v>
      </c>
      <c r="F31" s="26"/>
      <c r="G31" s="589">
        <f t="shared" ref="G31:N32" si="8">G32</f>
        <v>-3718</v>
      </c>
      <c r="H31" s="589">
        <f t="shared" si="8"/>
        <v>4492.9399999999996</v>
      </c>
      <c r="I31" s="589">
        <f t="shared" si="8"/>
        <v>0</v>
      </c>
      <c r="J31" s="627">
        <f t="shared" si="8"/>
        <v>0</v>
      </c>
      <c r="K31" s="627">
        <f t="shared" si="8"/>
        <v>0</v>
      </c>
      <c r="L31" s="627">
        <f t="shared" si="8"/>
        <v>0</v>
      </c>
      <c r="M31" s="29">
        <f t="shared" si="8"/>
        <v>0</v>
      </c>
      <c r="N31" s="30">
        <f t="shared" si="8"/>
        <v>0</v>
      </c>
    </row>
    <row r="32" spans="1:19" ht="21" customHeight="1">
      <c r="A32" s="31" t="s">
        <v>145</v>
      </c>
      <c r="B32" s="26" t="s">
        <v>125</v>
      </c>
      <c r="C32" s="26" t="s">
        <v>47</v>
      </c>
      <c r="D32" s="26" t="s">
        <v>21</v>
      </c>
      <c r="E32" s="26" t="s">
        <v>151</v>
      </c>
      <c r="F32" s="26"/>
      <c r="G32" s="589">
        <f t="shared" si="8"/>
        <v>-3718</v>
      </c>
      <c r="H32" s="589">
        <f t="shared" si="8"/>
        <v>4492.9399999999996</v>
      </c>
      <c r="I32" s="589">
        <f t="shared" si="8"/>
        <v>0</v>
      </c>
      <c r="J32" s="627">
        <f t="shared" si="8"/>
        <v>0</v>
      </c>
      <c r="K32" s="627">
        <f t="shared" si="8"/>
        <v>0</v>
      </c>
      <c r="L32" s="627">
        <f t="shared" si="8"/>
        <v>0</v>
      </c>
      <c r="M32" s="29">
        <f t="shared" si="8"/>
        <v>0</v>
      </c>
      <c r="N32" s="30">
        <f t="shared" si="8"/>
        <v>0</v>
      </c>
    </row>
    <row r="33" spans="1:19" ht="29.25" customHeight="1">
      <c r="A33" s="31" t="s">
        <v>152</v>
      </c>
      <c r="B33" s="26" t="s">
        <v>125</v>
      </c>
      <c r="C33" s="26" t="s">
        <v>47</v>
      </c>
      <c r="D33" s="26" t="s">
        <v>21</v>
      </c>
      <c r="E33" s="26" t="s">
        <v>151</v>
      </c>
      <c r="F33" s="26" t="s">
        <v>142</v>
      </c>
      <c r="G33" s="589">
        <v>-3718</v>
      </c>
      <c r="H33" s="589">
        <v>4492.9399999999996</v>
      </c>
      <c r="I33" s="589"/>
      <c r="J33" s="627"/>
      <c r="K33" s="627"/>
      <c r="L33" s="627">
        <f>J33+K33</f>
        <v>0</v>
      </c>
      <c r="M33" s="29"/>
      <c r="N33" s="30">
        <f>L33+M33</f>
        <v>0</v>
      </c>
    </row>
    <row r="34" spans="1:19" ht="41.25" customHeight="1">
      <c r="A34" s="31" t="s">
        <v>153</v>
      </c>
      <c r="B34" s="26" t="s">
        <v>125</v>
      </c>
      <c r="C34" s="26" t="s">
        <v>47</v>
      </c>
      <c r="D34" s="26" t="s">
        <v>21</v>
      </c>
      <c r="E34" s="26" t="s">
        <v>154</v>
      </c>
      <c r="F34" s="26"/>
      <c r="G34" s="565"/>
      <c r="H34" s="589"/>
      <c r="I34" s="565"/>
      <c r="J34" s="627">
        <f>J35</f>
        <v>747</v>
      </c>
      <c r="K34" s="627">
        <f>K35</f>
        <v>0</v>
      </c>
      <c r="L34" s="627">
        <f>L35</f>
        <v>747</v>
      </c>
      <c r="M34" s="29"/>
      <c r="N34" s="30"/>
      <c r="S34" s="15">
        <f>K35+K52+K120</f>
        <v>-2479.1999999999998</v>
      </c>
    </row>
    <row r="35" spans="1:19" ht="29.25" customHeight="1">
      <c r="A35" s="31" t="s">
        <v>152</v>
      </c>
      <c r="B35" s="26" t="s">
        <v>125</v>
      </c>
      <c r="C35" s="26" t="s">
        <v>47</v>
      </c>
      <c r="D35" s="26" t="s">
        <v>21</v>
      </c>
      <c r="E35" s="26" t="s">
        <v>154</v>
      </c>
      <c r="F35" s="26" t="s">
        <v>142</v>
      </c>
      <c r="G35" s="565"/>
      <c r="H35" s="589"/>
      <c r="I35" s="565"/>
      <c r="J35" s="627">
        <v>747</v>
      </c>
      <c r="K35" s="627"/>
      <c r="L35" s="627">
        <f>J35+K35</f>
        <v>747</v>
      </c>
      <c r="M35" s="29"/>
      <c r="N35" s="30"/>
      <c r="O35" s="44"/>
      <c r="S35" s="15">
        <f>L122</f>
        <v>451.3673</v>
      </c>
    </row>
    <row r="36" spans="1:19" ht="18.75" hidden="1" customHeight="1">
      <c r="A36" s="31" t="s">
        <v>155</v>
      </c>
      <c r="B36" s="26" t="s">
        <v>125</v>
      </c>
      <c r="C36" s="26" t="s">
        <v>47</v>
      </c>
      <c r="D36" s="26" t="s">
        <v>21</v>
      </c>
      <c r="E36" s="26" t="s">
        <v>156</v>
      </c>
      <c r="F36" s="26"/>
      <c r="G36" s="565"/>
      <c r="H36" s="589"/>
      <c r="I36" s="565"/>
      <c r="J36" s="627">
        <f>J37</f>
        <v>0</v>
      </c>
      <c r="K36" s="627">
        <f>K37</f>
        <v>0</v>
      </c>
      <c r="L36" s="627">
        <f>L37</f>
        <v>0</v>
      </c>
      <c r="M36" s="29"/>
      <c r="N36" s="30"/>
    </row>
    <row r="37" spans="1:19" ht="15" hidden="1" customHeight="1">
      <c r="A37" s="31" t="s">
        <v>152</v>
      </c>
      <c r="B37" s="26" t="s">
        <v>125</v>
      </c>
      <c r="C37" s="26" t="s">
        <v>47</v>
      </c>
      <c r="D37" s="26" t="s">
        <v>21</v>
      </c>
      <c r="E37" s="26" t="s">
        <v>156</v>
      </c>
      <c r="F37" s="26" t="s">
        <v>142</v>
      </c>
      <c r="G37" s="565"/>
      <c r="H37" s="589"/>
      <c r="I37" s="565"/>
      <c r="J37" s="627"/>
      <c r="K37" s="627"/>
      <c r="L37" s="628">
        <f>J37+K37</f>
        <v>0</v>
      </c>
      <c r="M37" s="29"/>
      <c r="N37" s="30"/>
    </row>
    <row r="38" spans="1:19" ht="60.75" hidden="1" customHeight="1">
      <c r="A38" s="46" t="s">
        <v>157</v>
      </c>
      <c r="B38" s="47" t="s">
        <v>125</v>
      </c>
      <c r="C38" s="47" t="s">
        <v>47</v>
      </c>
      <c r="D38" s="47" t="s">
        <v>21</v>
      </c>
      <c r="E38" s="47" t="s">
        <v>158</v>
      </c>
      <c r="F38" s="47"/>
      <c r="G38" s="590"/>
      <c r="H38" s="591"/>
      <c r="I38" s="590"/>
      <c r="J38" s="628">
        <f>J39</f>
        <v>0</v>
      </c>
      <c r="K38" s="628">
        <f>K39</f>
        <v>0</v>
      </c>
      <c r="L38" s="628">
        <f>L39</f>
        <v>0</v>
      </c>
      <c r="M38" s="29">
        <f>M39</f>
        <v>741.3</v>
      </c>
      <c r="N38" s="30">
        <f>N39</f>
        <v>741.3</v>
      </c>
    </row>
    <row r="39" spans="1:19" ht="15.75" hidden="1" customHeight="1">
      <c r="A39" s="46" t="s">
        <v>159</v>
      </c>
      <c r="B39" s="47" t="s">
        <v>125</v>
      </c>
      <c r="C39" s="47" t="s">
        <v>47</v>
      </c>
      <c r="D39" s="47" t="s">
        <v>21</v>
      </c>
      <c r="E39" s="47" t="s">
        <v>158</v>
      </c>
      <c r="F39" s="47" t="s">
        <v>160</v>
      </c>
      <c r="G39" s="590"/>
      <c r="H39" s="591"/>
      <c r="I39" s="590"/>
      <c r="J39" s="628"/>
      <c r="K39" s="628"/>
      <c r="L39" s="628">
        <f>J39+K39</f>
        <v>0</v>
      </c>
      <c r="M39" s="48">
        <v>741.3</v>
      </c>
      <c r="N39" s="49">
        <f>L39+M39</f>
        <v>741.3</v>
      </c>
    </row>
    <row r="40" spans="1:19">
      <c r="A40" s="24" t="s">
        <v>79</v>
      </c>
      <c r="B40" s="25" t="s">
        <v>125</v>
      </c>
      <c r="C40" s="25" t="s">
        <v>47</v>
      </c>
      <c r="D40" s="25" t="s">
        <v>22</v>
      </c>
      <c r="E40" s="26"/>
      <c r="F40" s="26"/>
      <c r="G40" s="206">
        <f>G48+G57+G42</f>
        <v>3129.74424</v>
      </c>
      <c r="H40" s="206">
        <f>H48+H57+H42</f>
        <v>6056.41</v>
      </c>
      <c r="I40" s="206">
        <f>I48+I57+I42</f>
        <v>0</v>
      </c>
      <c r="J40" s="488">
        <f>J48+J57+J42+J55</f>
        <v>5310.8</v>
      </c>
      <c r="K40" s="488">
        <f>K48+K57+K42+K55</f>
        <v>-176.536</v>
      </c>
      <c r="L40" s="488">
        <f>L48+L57+L42+L55</f>
        <v>5134.2640000000001</v>
      </c>
      <c r="M40" s="52">
        <f>M48+M57+M42+M55</f>
        <v>657.7</v>
      </c>
      <c r="N40" s="53">
        <f>N48+N57+N42+N55</f>
        <v>4192.9639999999999</v>
      </c>
    </row>
    <row r="41" spans="1:19" ht="30">
      <c r="A41" s="31" t="s">
        <v>149</v>
      </c>
      <c r="B41" s="26" t="s">
        <v>125</v>
      </c>
      <c r="C41" s="26" t="s">
        <v>47</v>
      </c>
      <c r="D41" s="26" t="s">
        <v>22</v>
      </c>
      <c r="E41" s="26" t="s">
        <v>150</v>
      </c>
      <c r="F41" s="26"/>
      <c r="G41" s="206">
        <f t="shared" ref="G41:N42" si="9">G42</f>
        <v>3718</v>
      </c>
      <c r="H41" s="206">
        <f t="shared" si="9"/>
        <v>0</v>
      </c>
      <c r="I41" s="206">
        <f t="shared" si="9"/>
        <v>0</v>
      </c>
      <c r="J41" s="627">
        <f t="shared" si="9"/>
        <v>390</v>
      </c>
      <c r="K41" s="627">
        <f t="shared" si="9"/>
        <v>0</v>
      </c>
      <c r="L41" s="627">
        <f t="shared" si="9"/>
        <v>390</v>
      </c>
      <c r="M41" s="28">
        <f t="shared" si="9"/>
        <v>163</v>
      </c>
      <c r="N41" s="55">
        <f t="shared" si="9"/>
        <v>553</v>
      </c>
    </row>
    <row r="42" spans="1:19" ht="30">
      <c r="A42" s="31" t="s">
        <v>145</v>
      </c>
      <c r="B42" s="26" t="s">
        <v>125</v>
      </c>
      <c r="C42" s="26" t="s">
        <v>47</v>
      </c>
      <c r="D42" s="26" t="s">
        <v>22</v>
      </c>
      <c r="E42" s="26" t="s">
        <v>151</v>
      </c>
      <c r="F42" s="26"/>
      <c r="G42" s="565">
        <f t="shared" si="9"/>
        <v>3718</v>
      </c>
      <c r="H42" s="207">
        <f t="shared" si="9"/>
        <v>0</v>
      </c>
      <c r="I42" s="565">
        <f t="shared" si="9"/>
        <v>0</v>
      </c>
      <c r="J42" s="627">
        <f>J43+J44+J46</f>
        <v>390</v>
      </c>
      <c r="K42" s="627">
        <f>K43+K44+K46</f>
        <v>0</v>
      </c>
      <c r="L42" s="627">
        <f>L43+L44+L46</f>
        <v>390</v>
      </c>
      <c r="M42" s="42">
        <f t="shared" si="9"/>
        <v>163</v>
      </c>
      <c r="N42" s="30">
        <f t="shared" si="9"/>
        <v>553</v>
      </c>
    </row>
    <row r="43" spans="1:19" ht="30">
      <c r="A43" s="31" t="s">
        <v>152</v>
      </c>
      <c r="B43" s="26" t="s">
        <v>125</v>
      </c>
      <c r="C43" s="26" t="s">
        <v>47</v>
      </c>
      <c r="D43" s="26" t="s">
        <v>22</v>
      </c>
      <c r="E43" s="26" t="s">
        <v>151</v>
      </c>
      <c r="F43" s="26" t="s">
        <v>142</v>
      </c>
      <c r="G43" s="565">
        <v>3718</v>
      </c>
      <c r="H43" s="589"/>
      <c r="I43" s="565"/>
      <c r="J43" s="627">
        <v>390</v>
      </c>
      <c r="K43" s="627"/>
      <c r="L43" s="627">
        <f>J43+K43</f>
        <v>390</v>
      </c>
      <c r="M43" s="42">
        <f>16+147</f>
        <v>163</v>
      </c>
      <c r="N43" s="30">
        <f>L43+M43</f>
        <v>553</v>
      </c>
      <c r="O43" s="56">
        <v>390</v>
      </c>
      <c r="P43" s="45">
        <f>L43-O43</f>
        <v>0</v>
      </c>
    </row>
    <row r="44" spans="1:19" ht="45" hidden="1">
      <c r="A44" s="31" t="s">
        <v>153</v>
      </c>
      <c r="B44" s="26" t="s">
        <v>125</v>
      </c>
      <c r="C44" s="26" t="s">
        <v>47</v>
      </c>
      <c r="D44" s="26" t="s">
        <v>22</v>
      </c>
      <c r="E44" s="26" t="s">
        <v>161</v>
      </c>
      <c r="F44" s="26"/>
      <c r="G44" s="565"/>
      <c r="H44" s="589"/>
      <c r="I44" s="565"/>
      <c r="J44" s="627">
        <f>J45</f>
        <v>0</v>
      </c>
      <c r="K44" s="627">
        <f>K45</f>
        <v>0</v>
      </c>
      <c r="L44" s="627">
        <f>L45</f>
        <v>0</v>
      </c>
      <c r="M44" s="42"/>
      <c r="N44" s="30"/>
    </row>
    <row r="45" spans="1:19" ht="30" hidden="1">
      <c r="A45" s="31" t="s">
        <v>152</v>
      </c>
      <c r="B45" s="26" t="s">
        <v>125</v>
      </c>
      <c r="C45" s="26" t="s">
        <v>47</v>
      </c>
      <c r="D45" s="26" t="s">
        <v>22</v>
      </c>
      <c r="E45" s="26" t="s">
        <v>161</v>
      </c>
      <c r="F45" s="26" t="s">
        <v>142</v>
      </c>
      <c r="G45" s="565"/>
      <c r="H45" s="589"/>
      <c r="I45" s="565"/>
      <c r="J45" s="627"/>
      <c r="K45" s="627"/>
      <c r="L45" s="627">
        <f>J45+K45</f>
        <v>0</v>
      </c>
      <c r="M45" s="42"/>
      <c r="N45" s="30"/>
    </row>
    <row r="46" spans="1:19" ht="45" hidden="1">
      <c r="A46" s="31" t="s">
        <v>155</v>
      </c>
      <c r="B46" s="26" t="s">
        <v>125</v>
      </c>
      <c r="C46" s="26" t="s">
        <v>47</v>
      </c>
      <c r="D46" s="26" t="s">
        <v>22</v>
      </c>
      <c r="E46" s="26" t="s">
        <v>162</v>
      </c>
      <c r="F46" s="26"/>
      <c r="G46" s="565"/>
      <c r="H46" s="589"/>
      <c r="I46" s="565"/>
      <c r="J46" s="627">
        <f>J47</f>
        <v>0</v>
      </c>
      <c r="K46" s="627">
        <f>K47</f>
        <v>0</v>
      </c>
      <c r="L46" s="627">
        <f>L47</f>
        <v>0</v>
      </c>
      <c r="M46" s="42"/>
      <c r="N46" s="30"/>
    </row>
    <row r="47" spans="1:19" ht="32.25" customHeight="1">
      <c r="A47" s="31" t="s">
        <v>152</v>
      </c>
      <c r="B47" s="26" t="s">
        <v>125</v>
      </c>
      <c r="C47" s="26" t="s">
        <v>47</v>
      </c>
      <c r="D47" s="26" t="s">
        <v>22</v>
      </c>
      <c r="E47" s="26" t="s">
        <v>162</v>
      </c>
      <c r="F47" s="26" t="s">
        <v>142</v>
      </c>
      <c r="G47" s="565"/>
      <c r="H47" s="589"/>
      <c r="I47" s="565"/>
      <c r="J47" s="627"/>
      <c r="K47" s="627"/>
      <c r="L47" s="627">
        <f>J47+K47</f>
        <v>0</v>
      </c>
      <c r="M47" s="42"/>
      <c r="N47" s="30"/>
    </row>
    <row r="48" spans="1:19">
      <c r="A48" s="31" t="s">
        <v>163</v>
      </c>
      <c r="B48" s="26" t="s">
        <v>125</v>
      </c>
      <c r="C48" s="26" t="s">
        <v>47</v>
      </c>
      <c r="D48" s="26" t="s">
        <v>22</v>
      </c>
      <c r="E48" s="26" t="s">
        <v>164</v>
      </c>
      <c r="F48" s="26"/>
      <c r="G48" s="592">
        <f t="shared" ref="G48:N49" si="10">G49</f>
        <v>0</v>
      </c>
      <c r="H48" s="592">
        <f t="shared" si="10"/>
        <v>4784.91</v>
      </c>
      <c r="I48" s="592">
        <f t="shared" si="10"/>
        <v>0</v>
      </c>
      <c r="J48" s="627">
        <f>J49+J51+J53</f>
        <v>2717</v>
      </c>
      <c r="K48" s="627">
        <f>K49+K51+K53</f>
        <v>-176.536</v>
      </c>
      <c r="L48" s="627">
        <f>L49+L51+L53</f>
        <v>2540.4639999999999</v>
      </c>
      <c r="M48" s="28">
        <f t="shared" si="10"/>
        <v>1270</v>
      </c>
      <c r="N48" s="55">
        <f t="shared" si="10"/>
        <v>2211.4639999999999</v>
      </c>
    </row>
    <row r="49" spans="1:19" ht="30">
      <c r="A49" s="31" t="s">
        <v>145</v>
      </c>
      <c r="B49" s="26" t="s">
        <v>125</v>
      </c>
      <c r="C49" s="26" t="s">
        <v>47</v>
      </c>
      <c r="D49" s="26" t="s">
        <v>22</v>
      </c>
      <c r="E49" s="26" t="s">
        <v>165</v>
      </c>
      <c r="F49" s="26"/>
      <c r="G49" s="147">
        <f t="shared" si="10"/>
        <v>0</v>
      </c>
      <c r="H49" s="147">
        <f t="shared" si="10"/>
        <v>4784.91</v>
      </c>
      <c r="I49" s="147">
        <f t="shared" si="10"/>
        <v>0</v>
      </c>
      <c r="J49" s="627">
        <f t="shared" si="10"/>
        <v>1118</v>
      </c>
      <c r="K49" s="627">
        <f t="shared" si="10"/>
        <v>-176.536</v>
      </c>
      <c r="L49" s="627">
        <f t="shared" si="10"/>
        <v>941.46399999999994</v>
      </c>
      <c r="M49" s="42">
        <f t="shared" si="10"/>
        <v>1270</v>
      </c>
      <c r="N49" s="43">
        <f t="shared" si="10"/>
        <v>2211.4639999999999</v>
      </c>
    </row>
    <row r="50" spans="1:19" ht="30">
      <c r="A50" s="31" t="s">
        <v>152</v>
      </c>
      <c r="B50" s="26" t="s">
        <v>125</v>
      </c>
      <c r="C50" s="26" t="s">
        <v>47</v>
      </c>
      <c r="D50" s="26" t="s">
        <v>22</v>
      </c>
      <c r="E50" s="26" t="s">
        <v>165</v>
      </c>
      <c r="F50" s="26" t="s">
        <v>142</v>
      </c>
      <c r="G50" s="147"/>
      <c r="H50" s="589">
        <v>4784.91</v>
      </c>
      <c r="I50" s="147"/>
      <c r="J50" s="627">
        <v>1118</v>
      </c>
      <c r="K50" s="627">
        <v>-176.536</v>
      </c>
      <c r="L50" s="627">
        <f>J50+K50</f>
        <v>941.46399999999994</v>
      </c>
      <c r="M50" s="42">
        <f>127+1143</f>
        <v>1270</v>
      </c>
      <c r="N50" s="30">
        <f>L50+M50</f>
        <v>2211.4639999999999</v>
      </c>
      <c r="O50" s="44">
        <v>655</v>
      </c>
      <c r="P50" s="45">
        <f>L50-O50</f>
        <v>286.46399999999994</v>
      </c>
    </row>
    <row r="51" spans="1:19" ht="45">
      <c r="A51" s="31" t="s">
        <v>153</v>
      </c>
      <c r="B51" s="26" t="s">
        <v>125</v>
      </c>
      <c r="C51" s="26" t="s">
        <v>47</v>
      </c>
      <c r="D51" s="26" t="s">
        <v>22</v>
      </c>
      <c r="E51" s="26" t="s">
        <v>166</v>
      </c>
      <c r="F51" s="26"/>
      <c r="G51" s="147"/>
      <c r="H51" s="589"/>
      <c r="I51" s="147"/>
      <c r="J51" s="627">
        <f>J52</f>
        <v>1599</v>
      </c>
      <c r="K51" s="627">
        <f>K52</f>
        <v>0</v>
      </c>
      <c r="L51" s="627">
        <f>L52</f>
        <v>1599</v>
      </c>
      <c r="M51" s="42"/>
      <c r="N51" s="30"/>
    </row>
    <row r="52" spans="1:19" ht="30">
      <c r="A52" s="31" t="s">
        <v>152</v>
      </c>
      <c r="B52" s="26" t="s">
        <v>125</v>
      </c>
      <c r="C52" s="26" t="s">
        <v>47</v>
      </c>
      <c r="D52" s="26" t="s">
        <v>22</v>
      </c>
      <c r="E52" s="26" t="s">
        <v>166</v>
      </c>
      <c r="F52" s="26" t="s">
        <v>142</v>
      </c>
      <c r="G52" s="147"/>
      <c r="H52" s="589"/>
      <c r="I52" s="147"/>
      <c r="J52" s="627">
        <v>1599</v>
      </c>
      <c r="K52" s="627"/>
      <c r="L52" s="627">
        <f>J52+K52</f>
        <v>1599</v>
      </c>
      <c r="M52" s="42"/>
      <c r="N52" s="30"/>
      <c r="O52" s="44"/>
    </row>
    <row r="53" spans="1:19" ht="45" hidden="1">
      <c r="A53" s="31" t="s">
        <v>155</v>
      </c>
      <c r="B53" s="26" t="s">
        <v>125</v>
      </c>
      <c r="C53" s="26" t="s">
        <v>47</v>
      </c>
      <c r="D53" s="26" t="s">
        <v>22</v>
      </c>
      <c r="E53" s="26" t="s">
        <v>167</v>
      </c>
      <c r="F53" s="26"/>
      <c r="G53" s="147"/>
      <c r="H53" s="589"/>
      <c r="I53" s="147"/>
      <c r="J53" s="627">
        <f>J54</f>
        <v>0</v>
      </c>
      <c r="K53" s="627">
        <f>K54</f>
        <v>0</v>
      </c>
      <c r="L53" s="627">
        <f>L54</f>
        <v>0</v>
      </c>
      <c r="M53" s="42"/>
      <c r="N53" s="30"/>
    </row>
    <row r="54" spans="1:19" ht="30" hidden="1">
      <c r="A54" s="31" t="s">
        <v>152</v>
      </c>
      <c r="B54" s="26" t="s">
        <v>125</v>
      </c>
      <c r="C54" s="26" t="s">
        <v>47</v>
      </c>
      <c r="D54" s="26" t="s">
        <v>22</v>
      </c>
      <c r="E54" s="26" t="s">
        <v>167</v>
      </c>
      <c r="F54" s="26" t="s">
        <v>142</v>
      </c>
      <c r="G54" s="147"/>
      <c r="H54" s="589"/>
      <c r="I54" s="147"/>
      <c r="J54" s="627"/>
      <c r="K54" s="627"/>
      <c r="L54" s="627">
        <f>J54+K54</f>
        <v>0</v>
      </c>
      <c r="M54" s="42"/>
      <c r="N54" s="30"/>
    </row>
    <row r="55" spans="1:19" ht="12.75" hidden="1" customHeight="1">
      <c r="A55" s="31" t="s">
        <v>168</v>
      </c>
      <c r="B55" s="26" t="s">
        <v>125</v>
      </c>
      <c r="C55" s="26" t="s">
        <v>47</v>
      </c>
      <c r="D55" s="26" t="s">
        <v>22</v>
      </c>
      <c r="E55" s="26" t="s">
        <v>169</v>
      </c>
      <c r="F55" s="26"/>
      <c r="G55" s="147"/>
      <c r="H55" s="589"/>
      <c r="I55" s="147"/>
      <c r="J55" s="627">
        <f>J56</f>
        <v>0</v>
      </c>
      <c r="K55" s="627">
        <f>K56</f>
        <v>0</v>
      </c>
      <c r="L55" s="627">
        <f>L56</f>
        <v>0</v>
      </c>
      <c r="M55" s="29">
        <f>M56</f>
        <v>-741.3</v>
      </c>
      <c r="N55" s="30">
        <f>N56</f>
        <v>-741.3</v>
      </c>
    </row>
    <row r="56" spans="1:19" ht="12.75" hidden="1" customHeight="1">
      <c r="A56" s="31" t="s">
        <v>152</v>
      </c>
      <c r="B56" s="26" t="s">
        <v>125</v>
      </c>
      <c r="C56" s="26" t="s">
        <v>47</v>
      </c>
      <c r="D56" s="26" t="s">
        <v>22</v>
      </c>
      <c r="E56" s="26" t="s">
        <v>169</v>
      </c>
      <c r="F56" s="26" t="s">
        <v>142</v>
      </c>
      <c r="G56" s="147"/>
      <c r="H56" s="589"/>
      <c r="I56" s="147"/>
      <c r="J56" s="627"/>
      <c r="K56" s="627"/>
      <c r="L56" s="627">
        <f>J56+K56</f>
        <v>0</v>
      </c>
      <c r="M56" s="42">
        <v>-741.3</v>
      </c>
      <c r="N56" s="30">
        <f>L56+M56</f>
        <v>-741.3</v>
      </c>
    </row>
    <row r="57" spans="1:19" ht="30">
      <c r="A57" s="31" t="s">
        <v>170</v>
      </c>
      <c r="B57" s="26" t="s">
        <v>125</v>
      </c>
      <c r="C57" s="26" t="s">
        <v>47</v>
      </c>
      <c r="D57" s="26" t="s">
        <v>22</v>
      </c>
      <c r="E57" s="26" t="s">
        <v>171</v>
      </c>
      <c r="F57" s="26"/>
      <c r="G57" s="592">
        <f t="shared" ref="G57:N58" si="11">G58</f>
        <v>-588.25576000000001</v>
      </c>
      <c r="H57" s="592">
        <f t="shared" si="11"/>
        <v>1271.5</v>
      </c>
      <c r="I57" s="592">
        <f t="shared" si="11"/>
        <v>0</v>
      </c>
      <c r="J57" s="627">
        <f t="shared" si="11"/>
        <v>2203.8000000000002</v>
      </c>
      <c r="K57" s="627">
        <f t="shared" si="11"/>
        <v>0</v>
      </c>
      <c r="L57" s="627">
        <f t="shared" si="11"/>
        <v>2203.8000000000002</v>
      </c>
      <c r="M57" s="28">
        <f t="shared" si="11"/>
        <v>-34</v>
      </c>
      <c r="N57" s="55">
        <f t="shared" si="11"/>
        <v>2169.8000000000002</v>
      </c>
    </row>
    <row r="58" spans="1:19" ht="75">
      <c r="A58" s="31" t="s">
        <v>172</v>
      </c>
      <c r="B58" s="26" t="s">
        <v>125</v>
      </c>
      <c r="C58" s="26" t="s">
        <v>47</v>
      </c>
      <c r="D58" s="26" t="s">
        <v>22</v>
      </c>
      <c r="E58" s="26" t="s">
        <v>173</v>
      </c>
      <c r="F58" s="26"/>
      <c r="G58" s="592">
        <f t="shared" si="11"/>
        <v>-588.25576000000001</v>
      </c>
      <c r="H58" s="592">
        <f t="shared" si="11"/>
        <v>1271.5</v>
      </c>
      <c r="I58" s="592">
        <f t="shared" si="11"/>
        <v>0</v>
      </c>
      <c r="J58" s="627">
        <f t="shared" si="11"/>
        <v>2203.8000000000002</v>
      </c>
      <c r="K58" s="627">
        <f t="shared" si="11"/>
        <v>0</v>
      </c>
      <c r="L58" s="627">
        <f t="shared" si="11"/>
        <v>2203.8000000000002</v>
      </c>
      <c r="M58" s="28">
        <f t="shared" si="11"/>
        <v>-34</v>
      </c>
      <c r="N58" s="55">
        <f t="shared" si="11"/>
        <v>2169.8000000000002</v>
      </c>
    </row>
    <row r="59" spans="1:19" ht="30">
      <c r="A59" s="31" t="s">
        <v>152</v>
      </c>
      <c r="B59" s="26" t="s">
        <v>125</v>
      </c>
      <c r="C59" s="26" t="s">
        <v>47</v>
      </c>
      <c r="D59" s="26" t="s">
        <v>22</v>
      </c>
      <c r="E59" s="26" t="s">
        <v>173</v>
      </c>
      <c r="F59" s="26" t="s">
        <v>142</v>
      </c>
      <c r="G59" s="592">
        <f>99.74424-688</f>
        <v>-588.25576000000001</v>
      </c>
      <c r="H59" s="589">
        <v>1271.5</v>
      </c>
      <c r="I59" s="592"/>
      <c r="J59" s="627">
        <v>2203.8000000000002</v>
      </c>
      <c r="K59" s="627"/>
      <c r="L59" s="627">
        <f>J59+K59</f>
        <v>2203.8000000000002</v>
      </c>
      <c r="M59" s="28">
        <v>-34</v>
      </c>
      <c r="N59" s="58">
        <f>L59+M59</f>
        <v>2169.8000000000002</v>
      </c>
      <c r="O59" s="11">
        <f>2322.3-118.5</f>
        <v>2203.8000000000002</v>
      </c>
      <c r="P59" s="15">
        <f>K59</f>
        <v>0</v>
      </c>
    </row>
    <row r="60" spans="1:19">
      <c r="A60" s="24" t="s">
        <v>80</v>
      </c>
      <c r="B60" s="25" t="s">
        <v>125</v>
      </c>
      <c r="C60" s="25" t="s">
        <v>47</v>
      </c>
      <c r="D60" s="25" t="s">
        <v>26</v>
      </c>
      <c r="E60" s="25"/>
      <c r="F60" s="25"/>
      <c r="G60" s="565">
        <f t="shared" ref="G60:M60" si="12">G61+G63</f>
        <v>2852</v>
      </c>
      <c r="H60" s="565">
        <f t="shared" si="12"/>
        <v>0</v>
      </c>
      <c r="I60" s="565">
        <f t="shared" si="12"/>
        <v>0</v>
      </c>
      <c r="J60" s="488">
        <f t="shared" si="12"/>
        <v>749.9</v>
      </c>
      <c r="K60" s="488">
        <f t="shared" si="12"/>
        <v>0</v>
      </c>
      <c r="L60" s="488">
        <f t="shared" si="12"/>
        <v>749.9</v>
      </c>
      <c r="M60" s="42">
        <f t="shared" si="12"/>
        <v>-1.8800000000000026</v>
      </c>
      <c r="N60" s="43">
        <f>N61+N63</f>
        <v>748.02</v>
      </c>
    </row>
    <row r="61" spans="1:19" ht="30">
      <c r="A61" s="31" t="s">
        <v>145</v>
      </c>
      <c r="B61" s="26" t="s">
        <v>125</v>
      </c>
      <c r="C61" s="26" t="s">
        <v>47</v>
      </c>
      <c r="D61" s="26" t="s">
        <v>26</v>
      </c>
      <c r="E61" s="26" t="s">
        <v>146</v>
      </c>
      <c r="F61" s="26"/>
      <c r="G61" s="147">
        <f t="shared" ref="G61:N61" si="13">G62</f>
        <v>2164</v>
      </c>
      <c r="H61" s="147">
        <f t="shared" si="13"/>
        <v>0</v>
      </c>
      <c r="I61" s="147">
        <f t="shared" si="13"/>
        <v>0</v>
      </c>
      <c r="J61" s="627">
        <f t="shared" si="13"/>
        <v>70</v>
      </c>
      <c r="K61" s="627">
        <f t="shared" si="13"/>
        <v>0</v>
      </c>
      <c r="L61" s="627">
        <f t="shared" si="13"/>
        <v>70</v>
      </c>
      <c r="M61" s="42">
        <f t="shared" si="13"/>
        <v>-35.880000000000003</v>
      </c>
      <c r="N61" s="30">
        <f t="shared" si="13"/>
        <v>34.119999999999997</v>
      </c>
    </row>
    <row r="62" spans="1:19" ht="30">
      <c r="A62" s="31" t="s">
        <v>141</v>
      </c>
      <c r="B62" s="26" t="s">
        <v>125</v>
      </c>
      <c r="C62" s="26" t="s">
        <v>47</v>
      </c>
      <c r="D62" s="26" t="s">
        <v>26</v>
      </c>
      <c r="E62" s="26" t="s">
        <v>146</v>
      </c>
      <c r="F62" s="26" t="s">
        <v>142</v>
      </c>
      <c r="G62" s="147">
        <v>2164</v>
      </c>
      <c r="H62" s="589"/>
      <c r="I62" s="147"/>
      <c r="J62" s="627">
        <v>70</v>
      </c>
      <c r="K62" s="627"/>
      <c r="L62" s="627">
        <f>J62+K62</f>
        <v>70</v>
      </c>
      <c r="M62" s="42">
        <v>-35.880000000000003</v>
      </c>
      <c r="N62" s="30">
        <f>L62+M62</f>
        <v>34.119999999999997</v>
      </c>
      <c r="O62" s="44">
        <v>70</v>
      </c>
      <c r="P62" s="45">
        <f>L62-O62</f>
        <v>0</v>
      </c>
    </row>
    <row r="63" spans="1:19" ht="75">
      <c r="A63" s="31" t="s">
        <v>172</v>
      </c>
      <c r="B63" s="26" t="s">
        <v>125</v>
      </c>
      <c r="C63" s="26" t="s">
        <v>47</v>
      </c>
      <c r="D63" s="26" t="s">
        <v>26</v>
      </c>
      <c r="E63" s="26" t="s">
        <v>173</v>
      </c>
      <c r="F63" s="26"/>
      <c r="G63" s="147">
        <f t="shared" ref="G63:N63" si="14">G64</f>
        <v>688</v>
      </c>
      <c r="H63" s="589">
        <f t="shared" si="14"/>
        <v>0</v>
      </c>
      <c r="I63" s="147">
        <f t="shared" si="14"/>
        <v>0</v>
      </c>
      <c r="J63" s="627">
        <f t="shared" si="14"/>
        <v>679.9</v>
      </c>
      <c r="K63" s="627">
        <f t="shared" si="14"/>
        <v>0</v>
      </c>
      <c r="L63" s="627">
        <f t="shared" si="14"/>
        <v>679.9</v>
      </c>
      <c r="M63" s="42">
        <f t="shared" si="14"/>
        <v>34</v>
      </c>
      <c r="N63" s="30">
        <f t="shared" si="14"/>
        <v>713.9</v>
      </c>
    </row>
    <row r="64" spans="1:19" ht="30">
      <c r="A64" s="31" t="s">
        <v>152</v>
      </c>
      <c r="B64" s="26" t="s">
        <v>125</v>
      </c>
      <c r="C64" s="26" t="s">
        <v>47</v>
      </c>
      <c r="D64" s="26" t="s">
        <v>26</v>
      </c>
      <c r="E64" s="26" t="s">
        <v>173</v>
      </c>
      <c r="F64" s="26" t="s">
        <v>142</v>
      </c>
      <c r="G64" s="147">
        <v>688</v>
      </c>
      <c r="H64" s="589"/>
      <c r="I64" s="147"/>
      <c r="J64" s="627">
        <v>679.9</v>
      </c>
      <c r="K64" s="627"/>
      <c r="L64" s="627">
        <f>J64+K64</f>
        <v>679.9</v>
      </c>
      <c r="M64" s="42">
        <v>34</v>
      </c>
      <c r="N64" s="30">
        <f>L64+M64</f>
        <v>713.9</v>
      </c>
      <c r="O64" s="11">
        <v>679.9</v>
      </c>
      <c r="P64" s="15">
        <f>K64</f>
        <v>0</v>
      </c>
      <c r="R64" s="11">
        <f>O64+O59</f>
        <v>2883.7000000000003</v>
      </c>
      <c r="S64" s="15">
        <f>L64+L59</f>
        <v>2883.7000000000003</v>
      </c>
    </row>
    <row r="65" spans="1:19" ht="29.25">
      <c r="A65" s="24" t="s">
        <v>83</v>
      </c>
      <c r="B65" s="25" t="s">
        <v>125</v>
      </c>
      <c r="C65" s="25" t="s">
        <v>47</v>
      </c>
      <c r="D65" s="25" t="s">
        <v>47</v>
      </c>
      <c r="E65" s="25"/>
      <c r="F65" s="25"/>
      <c r="G65" s="565">
        <f t="shared" ref="G65:L67" si="15">G66</f>
        <v>0</v>
      </c>
      <c r="H65" s="565">
        <f t="shared" si="15"/>
        <v>1049.6600000000001</v>
      </c>
      <c r="I65" s="565">
        <f t="shared" si="15"/>
        <v>0</v>
      </c>
      <c r="J65" s="488">
        <f>J66+J71+J75+J77+J73+J79+J81</f>
        <v>800</v>
      </c>
      <c r="K65" s="488">
        <f>K66+K71+K75+K77+K73</f>
        <v>0</v>
      </c>
      <c r="L65" s="488">
        <f>L66+L71+L75+L77+L73+L79+L81</f>
        <v>800</v>
      </c>
      <c r="M65" s="42"/>
      <c r="N65" s="61"/>
    </row>
    <row r="66" spans="1:19" ht="45" hidden="1">
      <c r="A66" s="31" t="s">
        <v>174</v>
      </c>
      <c r="B66" s="26" t="s">
        <v>125</v>
      </c>
      <c r="C66" s="26" t="s">
        <v>47</v>
      </c>
      <c r="D66" s="26" t="s">
        <v>47</v>
      </c>
      <c r="E66" s="26" t="s">
        <v>175</v>
      </c>
      <c r="F66" s="26"/>
      <c r="G66" s="147">
        <f t="shared" si="15"/>
        <v>0</v>
      </c>
      <c r="H66" s="147">
        <f t="shared" si="15"/>
        <v>1049.6600000000001</v>
      </c>
      <c r="I66" s="147">
        <f t="shared" si="15"/>
        <v>0</v>
      </c>
      <c r="J66" s="627">
        <f t="shared" si="15"/>
        <v>0</v>
      </c>
      <c r="K66" s="627">
        <f t="shared" si="15"/>
        <v>0</v>
      </c>
      <c r="L66" s="627">
        <f t="shared" si="15"/>
        <v>0</v>
      </c>
      <c r="M66" s="42"/>
      <c r="N66" s="61"/>
    </row>
    <row r="67" spans="1:19" ht="30" hidden="1">
      <c r="A67" s="31" t="s">
        <v>145</v>
      </c>
      <c r="B67" s="26" t="s">
        <v>125</v>
      </c>
      <c r="C67" s="26" t="s">
        <v>47</v>
      </c>
      <c r="D67" s="26" t="s">
        <v>47</v>
      </c>
      <c r="E67" s="26" t="s">
        <v>176</v>
      </c>
      <c r="F67" s="26"/>
      <c r="G67" s="147">
        <f t="shared" si="15"/>
        <v>0</v>
      </c>
      <c r="H67" s="147">
        <f t="shared" si="15"/>
        <v>1049.6600000000001</v>
      </c>
      <c r="I67" s="147">
        <f t="shared" si="15"/>
        <v>0</v>
      </c>
      <c r="J67" s="627">
        <f t="shared" si="15"/>
        <v>0</v>
      </c>
      <c r="K67" s="627">
        <f t="shared" si="15"/>
        <v>0</v>
      </c>
      <c r="L67" s="627">
        <f t="shared" si="15"/>
        <v>0</v>
      </c>
      <c r="M67" s="42"/>
      <c r="N67" s="61"/>
    </row>
    <row r="68" spans="1:19" ht="30" hidden="1">
      <c r="A68" s="31" t="s">
        <v>152</v>
      </c>
      <c r="B68" s="26" t="s">
        <v>125</v>
      </c>
      <c r="C68" s="26" t="s">
        <v>47</v>
      </c>
      <c r="D68" s="26" t="s">
        <v>47</v>
      </c>
      <c r="E68" s="26" t="s">
        <v>176</v>
      </c>
      <c r="F68" s="26" t="s">
        <v>142</v>
      </c>
      <c r="G68" s="67"/>
      <c r="H68" s="66">
        <v>1049.6600000000001</v>
      </c>
      <c r="I68" s="67"/>
      <c r="J68" s="627"/>
      <c r="K68" s="627"/>
      <c r="L68" s="627">
        <f>J68+K68</f>
        <v>0</v>
      </c>
      <c r="M68" s="42"/>
      <c r="N68" s="61"/>
    </row>
    <row r="69" spans="1:19" ht="60" hidden="1">
      <c r="A69" s="62" t="s">
        <v>177</v>
      </c>
      <c r="B69" s="63" t="s">
        <v>125</v>
      </c>
      <c r="C69" s="64" t="s">
        <v>47</v>
      </c>
      <c r="D69" s="64" t="s">
        <v>47</v>
      </c>
      <c r="E69" s="65">
        <v>7952014</v>
      </c>
      <c r="F69" s="64"/>
      <c r="G69" s="64"/>
      <c r="H69" s="66"/>
      <c r="I69" s="67"/>
      <c r="J69" s="627">
        <f>J70</f>
        <v>0</v>
      </c>
      <c r="K69" s="627">
        <f>K70</f>
        <v>0</v>
      </c>
      <c r="L69" s="627">
        <f>L70</f>
        <v>0</v>
      </c>
      <c r="M69" s="42"/>
      <c r="N69" s="61"/>
    </row>
    <row r="70" spans="1:19" ht="30" hidden="1">
      <c r="A70" s="31" t="s">
        <v>135</v>
      </c>
      <c r="B70" s="64" t="s">
        <v>125</v>
      </c>
      <c r="C70" s="64" t="s">
        <v>47</v>
      </c>
      <c r="D70" s="64" t="s">
        <v>47</v>
      </c>
      <c r="E70" s="65">
        <v>7952014</v>
      </c>
      <c r="F70" s="64" t="s">
        <v>133</v>
      </c>
      <c r="G70" s="67"/>
      <c r="H70" s="66"/>
      <c r="I70" s="67"/>
      <c r="J70" s="627"/>
      <c r="K70" s="627"/>
      <c r="L70" s="627">
        <f>J70+K70</f>
        <v>0</v>
      </c>
      <c r="M70" s="42"/>
      <c r="N70" s="61"/>
    </row>
    <row r="71" spans="1:19" ht="60">
      <c r="A71" s="62" t="s">
        <v>178</v>
      </c>
      <c r="B71" s="63" t="s">
        <v>125</v>
      </c>
      <c r="C71" s="64" t="s">
        <v>47</v>
      </c>
      <c r="D71" s="64" t="s">
        <v>47</v>
      </c>
      <c r="E71" s="65">
        <v>7952013</v>
      </c>
      <c r="F71" s="64"/>
      <c r="G71" s="67"/>
      <c r="H71" s="66"/>
      <c r="I71" s="67"/>
      <c r="J71" s="627">
        <f>J72</f>
        <v>227.2</v>
      </c>
      <c r="K71" s="627">
        <f>K72</f>
        <v>0</v>
      </c>
      <c r="L71" s="627">
        <f>L72</f>
        <v>227.2</v>
      </c>
      <c r="M71" s="42"/>
      <c r="N71" s="61"/>
    </row>
    <row r="72" spans="1:19" ht="30">
      <c r="A72" s="31" t="s">
        <v>135</v>
      </c>
      <c r="B72" s="64" t="s">
        <v>125</v>
      </c>
      <c r="C72" s="64" t="s">
        <v>47</v>
      </c>
      <c r="D72" s="64" t="s">
        <v>47</v>
      </c>
      <c r="E72" s="65">
        <v>7952013</v>
      </c>
      <c r="F72" s="64" t="s">
        <v>133</v>
      </c>
      <c r="G72" s="67"/>
      <c r="H72" s="66"/>
      <c r="I72" s="67"/>
      <c r="J72" s="627">
        <v>227.2</v>
      </c>
      <c r="K72" s="627"/>
      <c r="L72" s="627">
        <f>J72+K72</f>
        <v>227.2</v>
      </c>
      <c r="M72" s="42"/>
      <c r="N72" s="61"/>
      <c r="O72" s="11">
        <v>427.2</v>
      </c>
      <c r="P72" s="15">
        <f>L72-O72</f>
        <v>-200</v>
      </c>
      <c r="S72" s="15">
        <f>K72+K74+K76+K80+K82+K78</f>
        <v>0</v>
      </c>
    </row>
    <row r="73" spans="1:19" ht="60">
      <c r="A73" s="62" t="s">
        <v>179</v>
      </c>
      <c r="B73" s="63" t="s">
        <v>125</v>
      </c>
      <c r="C73" s="64" t="s">
        <v>47</v>
      </c>
      <c r="D73" s="64" t="s">
        <v>47</v>
      </c>
      <c r="E73" s="65">
        <v>7952014</v>
      </c>
      <c r="F73" s="64"/>
      <c r="G73" s="593"/>
      <c r="H73" s="68"/>
      <c r="I73" s="69"/>
      <c r="J73" s="627">
        <f>J74</f>
        <v>150</v>
      </c>
      <c r="K73" s="627">
        <f>K74</f>
        <v>0</v>
      </c>
      <c r="L73" s="627">
        <f>L74</f>
        <v>150</v>
      </c>
      <c r="M73" s="42"/>
      <c r="N73" s="61"/>
      <c r="P73" s="15"/>
    </row>
    <row r="74" spans="1:19" ht="30">
      <c r="A74" s="31" t="s">
        <v>135</v>
      </c>
      <c r="B74" s="64" t="s">
        <v>125</v>
      </c>
      <c r="C74" s="64" t="s">
        <v>47</v>
      </c>
      <c r="D74" s="64" t="s">
        <v>47</v>
      </c>
      <c r="E74" s="65">
        <v>7952014</v>
      </c>
      <c r="F74" s="64" t="s">
        <v>133</v>
      </c>
      <c r="G74" s="69"/>
      <c r="H74" s="68"/>
      <c r="I74" s="69"/>
      <c r="J74" s="627">
        <v>150</v>
      </c>
      <c r="K74" s="627"/>
      <c r="L74" s="627">
        <f>J74+K74</f>
        <v>150</v>
      </c>
      <c r="M74" s="42"/>
      <c r="N74" s="61"/>
      <c r="O74" s="11">
        <v>150</v>
      </c>
      <c r="P74" s="15"/>
    </row>
    <row r="75" spans="1:19" ht="60">
      <c r="A75" s="62" t="s">
        <v>180</v>
      </c>
      <c r="B75" s="63" t="s">
        <v>125</v>
      </c>
      <c r="C75" s="64" t="s">
        <v>47</v>
      </c>
      <c r="D75" s="64" t="s">
        <v>47</v>
      </c>
      <c r="E75" s="65">
        <v>7952015</v>
      </c>
      <c r="F75" s="64"/>
      <c r="G75" s="67"/>
      <c r="H75" s="66"/>
      <c r="I75" s="67"/>
      <c r="J75" s="627">
        <f>J76</f>
        <v>50</v>
      </c>
      <c r="K75" s="627">
        <f>K76</f>
        <v>0</v>
      </c>
      <c r="L75" s="627">
        <f>L76</f>
        <v>50</v>
      </c>
      <c r="M75" s="42"/>
      <c r="N75" s="61"/>
    </row>
    <row r="76" spans="1:19" ht="30">
      <c r="A76" s="31" t="s">
        <v>135</v>
      </c>
      <c r="B76" s="64" t="s">
        <v>125</v>
      </c>
      <c r="C76" s="64" t="s">
        <v>47</v>
      </c>
      <c r="D76" s="64" t="s">
        <v>47</v>
      </c>
      <c r="E76" s="65">
        <v>7952015</v>
      </c>
      <c r="F76" s="64" t="s">
        <v>133</v>
      </c>
      <c r="G76" s="67"/>
      <c r="H76" s="66"/>
      <c r="I76" s="67"/>
      <c r="J76" s="627">
        <v>50</v>
      </c>
      <c r="K76" s="627"/>
      <c r="L76" s="627">
        <f>J76+K76</f>
        <v>50</v>
      </c>
      <c r="M76" s="42"/>
      <c r="N76" s="61"/>
      <c r="O76" s="11">
        <v>50</v>
      </c>
    </row>
    <row r="77" spans="1:19" ht="90">
      <c r="A77" s="62" t="s">
        <v>181</v>
      </c>
      <c r="B77" s="63" t="s">
        <v>125</v>
      </c>
      <c r="C77" s="64" t="s">
        <v>47</v>
      </c>
      <c r="D77" s="64" t="s">
        <v>47</v>
      </c>
      <c r="E77" s="65">
        <v>7952016</v>
      </c>
      <c r="F77" s="64"/>
      <c r="G77" s="67"/>
      <c r="H77" s="66"/>
      <c r="I77" s="67"/>
      <c r="J77" s="627">
        <f>J78</f>
        <v>50</v>
      </c>
      <c r="K77" s="627">
        <f>K78</f>
        <v>0</v>
      </c>
      <c r="L77" s="627">
        <f>L78</f>
        <v>50</v>
      </c>
      <c r="M77" s="42"/>
      <c r="N77" s="61"/>
    </row>
    <row r="78" spans="1:19" ht="30">
      <c r="A78" s="31" t="s">
        <v>135</v>
      </c>
      <c r="B78" s="64" t="s">
        <v>125</v>
      </c>
      <c r="C78" s="64" t="s">
        <v>47</v>
      </c>
      <c r="D78" s="64" t="s">
        <v>47</v>
      </c>
      <c r="E78" s="65">
        <v>7952016</v>
      </c>
      <c r="F78" s="64" t="s">
        <v>133</v>
      </c>
      <c r="G78" s="67"/>
      <c r="H78" s="66"/>
      <c r="I78" s="67"/>
      <c r="J78" s="627">
        <v>50</v>
      </c>
      <c r="K78" s="627"/>
      <c r="L78" s="627">
        <f>J78+K78</f>
        <v>50</v>
      </c>
      <c r="M78" s="42"/>
      <c r="N78" s="61"/>
      <c r="O78" s="11">
        <v>50</v>
      </c>
    </row>
    <row r="79" spans="1:19" ht="90">
      <c r="A79" s="62" t="s">
        <v>182</v>
      </c>
      <c r="B79" s="63" t="s">
        <v>125</v>
      </c>
      <c r="C79" s="64" t="s">
        <v>47</v>
      </c>
      <c r="D79" s="64" t="s">
        <v>47</v>
      </c>
      <c r="E79" s="65">
        <v>7952017</v>
      </c>
      <c r="F79" s="64"/>
      <c r="G79" s="67"/>
      <c r="H79" s="66"/>
      <c r="I79" s="67"/>
      <c r="J79" s="627">
        <f>J80</f>
        <v>234</v>
      </c>
      <c r="K79" s="627">
        <f>K80</f>
        <v>0</v>
      </c>
      <c r="L79" s="627">
        <f>L80</f>
        <v>234</v>
      </c>
      <c r="M79" s="42"/>
      <c r="N79" s="61"/>
    </row>
    <row r="80" spans="1:19" ht="30">
      <c r="A80" s="31" t="s">
        <v>135</v>
      </c>
      <c r="B80" s="64" t="s">
        <v>125</v>
      </c>
      <c r="C80" s="64" t="s">
        <v>47</v>
      </c>
      <c r="D80" s="64" t="s">
        <v>47</v>
      </c>
      <c r="E80" s="65">
        <v>7952017</v>
      </c>
      <c r="F80" s="64" t="s">
        <v>133</v>
      </c>
      <c r="G80" s="67"/>
      <c r="H80" s="66"/>
      <c r="I80" s="67"/>
      <c r="J80" s="627">
        <v>234</v>
      </c>
      <c r="K80" s="627"/>
      <c r="L80" s="627">
        <f>J80+K80</f>
        <v>234</v>
      </c>
      <c r="M80" s="42"/>
      <c r="N80" s="61"/>
      <c r="O80" s="11">
        <v>234</v>
      </c>
    </row>
    <row r="81" spans="1:19" ht="45">
      <c r="A81" s="62" t="s">
        <v>183</v>
      </c>
      <c r="B81" s="63" t="s">
        <v>125</v>
      </c>
      <c r="C81" s="64" t="s">
        <v>47</v>
      </c>
      <c r="D81" s="64" t="s">
        <v>47</v>
      </c>
      <c r="E81" s="65">
        <v>7952019</v>
      </c>
      <c r="F81" s="64"/>
      <c r="G81" s="67"/>
      <c r="H81" s="66"/>
      <c r="I81" s="67"/>
      <c r="J81" s="627">
        <f>J82</f>
        <v>88.8</v>
      </c>
      <c r="K81" s="627">
        <f>K82</f>
        <v>0</v>
      </c>
      <c r="L81" s="627">
        <f>L82</f>
        <v>88.8</v>
      </c>
      <c r="M81" s="42"/>
      <c r="N81" s="61"/>
    </row>
    <row r="82" spans="1:19" ht="30">
      <c r="A82" s="31" t="s">
        <v>135</v>
      </c>
      <c r="B82" s="64" t="s">
        <v>125</v>
      </c>
      <c r="C82" s="64" t="s">
        <v>47</v>
      </c>
      <c r="D82" s="64" t="s">
        <v>47</v>
      </c>
      <c r="E82" s="65">
        <v>7952019</v>
      </c>
      <c r="F82" s="64" t="s">
        <v>133</v>
      </c>
      <c r="G82" s="67"/>
      <c r="H82" s="66"/>
      <c r="I82" s="67"/>
      <c r="J82" s="627">
        <v>88.8</v>
      </c>
      <c r="K82" s="627"/>
      <c r="L82" s="627">
        <f>J82+K82</f>
        <v>88.8</v>
      </c>
      <c r="M82" s="42"/>
      <c r="N82" s="61"/>
      <c r="O82" s="11">
        <v>88.8</v>
      </c>
    </row>
    <row r="83" spans="1:19" ht="43.5" hidden="1">
      <c r="A83" s="24" t="s">
        <v>84</v>
      </c>
      <c r="B83" s="25" t="s">
        <v>125</v>
      </c>
      <c r="C83" s="25" t="s">
        <v>47</v>
      </c>
      <c r="D83" s="25" t="s">
        <v>85</v>
      </c>
      <c r="E83" s="25"/>
      <c r="F83" s="25"/>
      <c r="G83" s="565">
        <f t="shared" ref="G83:N85" si="16">G84</f>
        <v>0</v>
      </c>
      <c r="H83" s="565">
        <f t="shared" si="16"/>
        <v>1049.6600000000001</v>
      </c>
      <c r="I83" s="565">
        <f t="shared" si="16"/>
        <v>0</v>
      </c>
      <c r="J83" s="488">
        <f>J84+J87+J89+J91+J93+J95</f>
        <v>0</v>
      </c>
      <c r="K83" s="488">
        <f>K84+K87+K89+K91+K93+K95</f>
        <v>0</v>
      </c>
      <c r="L83" s="488">
        <f>L84+L87+L89+L91+L93+L95</f>
        <v>0</v>
      </c>
      <c r="M83" s="70">
        <f>M84+M87</f>
        <v>33</v>
      </c>
      <c r="N83" s="71">
        <f>N84+N87</f>
        <v>33</v>
      </c>
      <c r="O83" s="72"/>
      <c r="P83" s="73"/>
      <c r="Q83" s="74"/>
      <c r="R83" s="73"/>
      <c r="S83" s="75"/>
    </row>
    <row r="84" spans="1:19" ht="45" hidden="1">
      <c r="A84" s="31" t="s">
        <v>174</v>
      </c>
      <c r="B84" s="26" t="s">
        <v>125</v>
      </c>
      <c r="C84" s="26" t="s">
        <v>47</v>
      </c>
      <c r="D84" s="26" t="s">
        <v>85</v>
      </c>
      <c r="E84" s="26" t="s">
        <v>175</v>
      </c>
      <c r="F84" s="26"/>
      <c r="G84" s="147">
        <f t="shared" si="16"/>
        <v>0</v>
      </c>
      <c r="H84" s="147">
        <f t="shared" si="16"/>
        <v>1049.6600000000001</v>
      </c>
      <c r="I84" s="147">
        <f t="shared" si="16"/>
        <v>0</v>
      </c>
      <c r="J84" s="627">
        <f t="shared" si="16"/>
        <v>0</v>
      </c>
      <c r="K84" s="627">
        <f t="shared" si="16"/>
        <v>0</v>
      </c>
      <c r="L84" s="627">
        <f t="shared" si="16"/>
        <v>0</v>
      </c>
      <c r="M84" s="42">
        <f t="shared" si="16"/>
        <v>0</v>
      </c>
      <c r="N84" s="76">
        <f t="shared" si="16"/>
        <v>0</v>
      </c>
      <c r="O84" s="77"/>
      <c r="P84" s="78"/>
      <c r="Q84" s="79"/>
      <c r="R84" s="78"/>
      <c r="S84" s="75"/>
    </row>
    <row r="85" spans="1:19" ht="30" hidden="1">
      <c r="A85" s="31" t="s">
        <v>145</v>
      </c>
      <c r="B85" s="26" t="s">
        <v>125</v>
      </c>
      <c r="C85" s="26" t="s">
        <v>47</v>
      </c>
      <c r="D85" s="26" t="s">
        <v>85</v>
      </c>
      <c r="E85" s="26" t="s">
        <v>176</v>
      </c>
      <c r="F85" s="26"/>
      <c r="G85" s="147">
        <f t="shared" si="16"/>
        <v>0</v>
      </c>
      <c r="H85" s="147">
        <f t="shared" si="16"/>
        <v>1049.6600000000001</v>
      </c>
      <c r="I85" s="147">
        <f t="shared" si="16"/>
        <v>0</v>
      </c>
      <c r="J85" s="627">
        <f t="shared" si="16"/>
        <v>0</v>
      </c>
      <c r="K85" s="627">
        <f t="shared" si="16"/>
        <v>0</v>
      </c>
      <c r="L85" s="627">
        <f t="shared" si="16"/>
        <v>0</v>
      </c>
      <c r="M85" s="42">
        <f t="shared" si="16"/>
        <v>0</v>
      </c>
      <c r="N85" s="76">
        <f t="shared" si="16"/>
        <v>0</v>
      </c>
      <c r="O85" s="77"/>
      <c r="P85" s="78"/>
      <c r="Q85" s="79"/>
      <c r="R85" s="78"/>
      <c r="S85" s="75"/>
    </row>
    <row r="86" spans="1:19" ht="30" hidden="1">
      <c r="A86" s="31" t="s">
        <v>152</v>
      </c>
      <c r="B86" s="26" t="s">
        <v>125</v>
      </c>
      <c r="C86" s="26" t="s">
        <v>47</v>
      </c>
      <c r="D86" s="26" t="s">
        <v>85</v>
      </c>
      <c r="E86" s="26" t="s">
        <v>176</v>
      </c>
      <c r="F86" s="26" t="s">
        <v>142</v>
      </c>
      <c r="G86" s="67"/>
      <c r="H86" s="66">
        <v>1049.6600000000001</v>
      </c>
      <c r="I86" s="67"/>
      <c r="J86" s="627"/>
      <c r="K86" s="627"/>
      <c r="L86" s="627">
        <f>J86+K86</f>
        <v>0</v>
      </c>
      <c r="M86" s="48"/>
      <c r="N86" s="80">
        <f>L86+M86</f>
        <v>0</v>
      </c>
      <c r="O86" s="77"/>
      <c r="P86" s="78"/>
      <c r="Q86" s="79"/>
      <c r="R86" s="81"/>
      <c r="S86" s="75"/>
    </row>
    <row r="87" spans="1:19" ht="60" hidden="1">
      <c r="A87" s="62" t="s">
        <v>177</v>
      </c>
      <c r="B87" s="63" t="s">
        <v>125</v>
      </c>
      <c r="C87" s="64" t="s">
        <v>47</v>
      </c>
      <c r="D87" s="64" t="s">
        <v>85</v>
      </c>
      <c r="E87" s="65">
        <v>7952014</v>
      </c>
      <c r="F87" s="64"/>
      <c r="G87" s="593"/>
      <c r="H87" s="68"/>
      <c r="I87" s="69"/>
      <c r="J87" s="627">
        <f>J88</f>
        <v>0</v>
      </c>
      <c r="K87" s="627">
        <f>K88</f>
        <v>0</v>
      </c>
      <c r="L87" s="627">
        <f>L88</f>
        <v>0</v>
      </c>
      <c r="M87" s="29">
        <f>M88</f>
        <v>33</v>
      </c>
      <c r="N87" s="82">
        <f>N88</f>
        <v>33</v>
      </c>
      <c r="O87" s="77"/>
      <c r="P87" s="78"/>
      <c r="Q87" s="79"/>
      <c r="R87" s="81"/>
      <c r="S87" s="75"/>
    </row>
    <row r="88" spans="1:19" ht="30" hidden="1" customHeight="1" thickBot="1">
      <c r="A88" s="31" t="s">
        <v>135</v>
      </c>
      <c r="B88" s="64" t="s">
        <v>125</v>
      </c>
      <c r="C88" s="64" t="s">
        <v>47</v>
      </c>
      <c r="D88" s="64" t="s">
        <v>85</v>
      </c>
      <c r="E88" s="65">
        <v>7952014</v>
      </c>
      <c r="F88" s="64" t="s">
        <v>133</v>
      </c>
      <c r="G88" s="69"/>
      <c r="H88" s="68"/>
      <c r="I88" s="69"/>
      <c r="J88" s="627"/>
      <c r="K88" s="627"/>
      <c r="L88" s="627">
        <f>J88+K88</f>
        <v>0</v>
      </c>
      <c r="M88" s="83">
        <v>33</v>
      </c>
      <c r="N88" s="84">
        <f>L88+M88</f>
        <v>33</v>
      </c>
      <c r="O88" s="85"/>
      <c r="P88" s="78"/>
      <c r="Q88" s="79"/>
      <c r="R88" s="81"/>
      <c r="S88" s="75"/>
    </row>
    <row r="89" spans="1:19" ht="57.75" hidden="1" customHeight="1" thickBot="1">
      <c r="A89" s="62" t="s">
        <v>178</v>
      </c>
      <c r="B89" s="63" t="s">
        <v>125</v>
      </c>
      <c r="C89" s="64" t="s">
        <v>47</v>
      </c>
      <c r="D89" s="64" t="s">
        <v>85</v>
      </c>
      <c r="E89" s="65">
        <v>7952013</v>
      </c>
      <c r="F89" s="64"/>
      <c r="G89" s="69"/>
      <c r="H89" s="68"/>
      <c r="I89" s="69"/>
      <c r="J89" s="627">
        <f>J90</f>
        <v>0</v>
      </c>
      <c r="K89" s="627">
        <f>K90</f>
        <v>0</v>
      </c>
      <c r="L89" s="627">
        <f>L90</f>
        <v>0</v>
      </c>
      <c r="M89" s="86"/>
      <c r="N89" s="87"/>
      <c r="O89" s="77"/>
      <c r="P89" s="78"/>
      <c r="Q89" s="79"/>
      <c r="R89" s="81"/>
      <c r="S89" s="75"/>
    </row>
    <row r="90" spans="1:19" ht="30" hidden="1" customHeight="1" thickBot="1">
      <c r="A90" s="31" t="s">
        <v>135</v>
      </c>
      <c r="B90" s="64" t="s">
        <v>125</v>
      </c>
      <c r="C90" s="64" t="s">
        <v>47</v>
      </c>
      <c r="D90" s="64" t="s">
        <v>85</v>
      </c>
      <c r="E90" s="65">
        <v>7952013</v>
      </c>
      <c r="F90" s="64" t="s">
        <v>133</v>
      </c>
      <c r="G90" s="69"/>
      <c r="H90" s="68"/>
      <c r="I90" s="69"/>
      <c r="J90" s="627"/>
      <c r="K90" s="627"/>
      <c r="L90" s="627">
        <f>J90+K90</f>
        <v>0</v>
      </c>
      <c r="M90" s="86"/>
      <c r="N90" s="87"/>
      <c r="O90" s="85"/>
      <c r="P90" s="78"/>
      <c r="Q90" s="79"/>
      <c r="R90" s="81"/>
      <c r="S90" s="75"/>
    </row>
    <row r="91" spans="1:19" ht="57" hidden="1" customHeight="1" thickBot="1">
      <c r="A91" s="62" t="s">
        <v>180</v>
      </c>
      <c r="B91" s="63" t="s">
        <v>125</v>
      </c>
      <c r="C91" s="64" t="s">
        <v>47</v>
      </c>
      <c r="D91" s="64" t="s">
        <v>85</v>
      </c>
      <c r="E91" s="65">
        <v>7952015</v>
      </c>
      <c r="F91" s="64"/>
      <c r="G91" s="69"/>
      <c r="H91" s="68"/>
      <c r="I91" s="69"/>
      <c r="J91" s="627">
        <f>J92</f>
        <v>0</v>
      </c>
      <c r="K91" s="627">
        <f>K92</f>
        <v>0</v>
      </c>
      <c r="L91" s="627">
        <f>L92</f>
        <v>0</v>
      </c>
      <c r="M91" s="86"/>
      <c r="N91" s="87"/>
      <c r="O91" s="77"/>
      <c r="P91" s="78"/>
      <c r="Q91" s="79"/>
      <c r="R91" s="81"/>
      <c r="S91" s="75"/>
    </row>
    <row r="92" spans="1:19" ht="30" hidden="1" customHeight="1" thickBot="1">
      <c r="A92" s="31" t="s">
        <v>135</v>
      </c>
      <c r="B92" s="64" t="s">
        <v>125</v>
      </c>
      <c r="C92" s="64" t="s">
        <v>47</v>
      </c>
      <c r="D92" s="64" t="s">
        <v>85</v>
      </c>
      <c r="E92" s="65">
        <v>7952015</v>
      </c>
      <c r="F92" s="64" t="s">
        <v>133</v>
      </c>
      <c r="G92" s="69"/>
      <c r="H92" s="68"/>
      <c r="I92" s="69"/>
      <c r="J92" s="627"/>
      <c r="K92" s="627"/>
      <c r="L92" s="627">
        <f>J92+K92</f>
        <v>0</v>
      </c>
      <c r="M92" s="86"/>
      <c r="N92" s="87"/>
      <c r="O92" s="85"/>
      <c r="P92" s="78"/>
      <c r="Q92" s="79"/>
      <c r="R92" s="81"/>
      <c r="S92" s="75"/>
    </row>
    <row r="93" spans="1:19" ht="90" hidden="1" customHeight="1" thickBot="1">
      <c r="A93" s="62" t="s">
        <v>181</v>
      </c>
      <c r="B93" s="63" t="s">
        <v>125</v>
      </c>
      <c r="C93" s="64" t="s">
        <v>47</v>
      </c>
      <c r="D93" s="64" t="s">
        <v>85</v>
      </c>
      <c r="E93" s="65">
        <v>7952016</v>
      </c>
      <c r="F93" s="64"/>
      <c r="G93" s="69"/>
      <c r="H93" s="68"/>
      <c r="I93" s="69"/>
      <c r="J93" s="627">
        <f>J94</f>
        <v>0</v>
      </c>
      <c r="K93" s="627">
        <f>K94</f>
        <v>0</v>
      </c>
      <c r="L93" s="627">
        <f>L94</f>
        <v>0</v>
      </c>
      <c r="M93" s="86"/>
      <c r="N93" s="87"/>
      <c r="O93" s="77"/>
      <c r="P93" s="78"/>
      <c r="Q93" s="79"/>
      <c r="R93" s="81"/>
      <c r="S93" s="75"/>
    </row>
    <row r="94" spans="1:19" ht="30" hidden="1" customHeight="1" thickBot="1">
      <c r="A94" s="88" t="s">
        <v>135</v>
      </c>
      <c r="B94" s="64" t="s">
        <v>125</v>
      </c>
      <c r="C94" s="64" t="s">
        <v>47</v>
      </c>
      <c r="D94" s="64" t="s">
        <v>85</v>
      </c>
      <c r="E94" s="65">
        <v>7952016</v>
      </c>
      <c r="F94" s="64" t="s">
        <v>133</v>
      </c>
      <c r="G94" s="69"/>
      <c r="H94" s="68"/>
      <c r="I94" s="69"/>
      <c r="J94" s="627"/>
      <c r="K94" s="627"/>
      <c r="L94" s="627">
        <f>J94+K94</f>
        <v>0</v>
      </c>
      <c r="M94" s="86"/>
      <c r="N94" s="87"/>
      <c r="O94" s="85"/>
      <c r="P94" s="78"/>
      <c r="Q94" s="79"/>
      <c r="R94" s="81"/>
      <c r="S94" s="75"/>
    </row>
    <row r="95" spans="1:19" ht="48.75" hidden="1" customHeight="1" thickBot="1">
      <c r="A95" s="62" t="s">
        <v>184</v>
      </c>
      <c r="B95" s="63" t="s">
        <v>125</v>
      </c>
      <c r="C95" s="64" t="s">
        <v>47</v>
      </c>
      <c r="D95" s="64" t="s">
        <v>85</v>
      </c>
      <c r="E95" s="65">
        <v>7952017</v>
      </c>
      <c r="F95" s="64"/>
      <c r="G95" s="69"/>
      <c r="H95" s="68"/>
      <c r="I95" s="69"/>
      <c r="J95" s="627">
        <f>J96</f>
        <v>0</v>
      </c>
      <c r="K95" s="627">
        <f>K96</f>
        <v>0</v>
      </c>
      <c r="L95" s="627">
        <f>L96</f>
        <v>0</v>
      </c>
      <c r="M95" s="86"/>
      <c r="N95" s="87"/>
      <c r="O95" s="77"/>
      <c r="P95" s="78"/>
      <c r="Q95" s="79"/>
      <c r="R95" s="81"/>
      <c r="S95" s="75"/>
    </row>
    <row r="96" spans="1:19" ht="33" hidden="1" customHeight="1" thickBot="1">
      <c r="A96" s="31" t="s">
        <v>135</v>
      </c>
      <c r="B96" s="64" t="s">
        <v>125</v>
      </c>
      <c r="C96" s="64" t="s">
        <v>47</v>
      </c>
      <c r="D96" s="64" t="s">
        <v>85</v>
      </c>
      <c r="E96" s="65">
        <v>7952017</v>
      </c>
      <c r="F96" s="64" t="s">
        <v>133</v>
      </c>
      <c r="G96" s="69"/>
      <c r="H96" s="68"/>
      <c r="I96" s="69"/>
      <c r="J96" s="627"/>
      <c r="K96" s="627">
        <f>30-30</f>
        <v>0</v>
      </c>
      <c r="L96" s="627">
        <f>J96+K96</f>
        <v>0</v>
      </c>
      <c r="M96" s="86"/>
      <c r="N96" s="87"/>
      <c r="O96" s="85"/>
      <c r="P96" s="78"/>
      <c r="Q96" s="79"/>
      <c r="R96" s="81"/>
      <c r="S96" s="75"/>
    </row>
    <row r="97" spans="1:18" ht="30" thickBot="1">
      <c r="A97" s="594" t="s">
        <v>185</v>
      </c>
      <c r="B97" s="209" t="s">
        <v>186</v>
      </c>
      <c r="C97" s="209"/>
      <c r="D97" s="209"/>
      <c r="E97" s="209"/>
      <c r="F97" s="209"/>
      <c r="G97" s="211" t="e">
        <f t="shared" ref="G97:N97" si="17">G98+G105+G174</f>
        <v>#REF!</v>
      </c>
      <c r="H97" s="211">
        <f t="shared" si="17"/>
        <v>159066.28999999998</v>
      </c>
      <c r="I97" s="211">
        <f t="shared" si="17"/>
        <v>0</v>
      </c>
      <c r="J97" s="625">
        <f t="shared" si="17"/>
        <v>207180.2395</v>
      </c>
      <c r="K97" s="625">
        <f>K98+K105+K174</f>
        <v>14188.941999999999</v>
      </c>
      <c r="L97" s="625">
        <f t="shared" si="17"/>
        <v>221369.18150000001</v>
      </c>
      <c r="M97" s="89">
        <f t="shared" si="17"/>
        <v>1106.3000000000002</v>
      </c>
      <c r="N97" s="90">
        <f t="shared" si="17"/>
        <v>75376.89420000001</v>
      </c>
      <c r="O97" s="91">
        <f>J97-L97</f>
        <v>-14188.94200000001</v>
      </c>
      <c r="P97" s="45"/>
      <c r="R97" s="45"/>
    </row>
    <row r="98" spans="1:18" hidden="1">
      <c r="A98" s="33" t="s">
        <v>18</v>
      </c>
      <c r="B98" s="34" t="s">
        <v>186</v>
      </c>
      <c r="C98" s="34" t="s">
        <v>21</v>
      </c>
      <c r="D98" s="25"/>
      <c r="E98" s="25"/>
      <c r="F98" s="25"/>
      <c r="G98" s="588">
        <f t="shared" ref="G98:N98" si="18">G99</f>
        <v>-853.63300000000004</v>
      </c>
      <c r="H98" s="588">
        <f t="shared" si="18"/>
        <v>1002.7</v>
      </c>
      <c r="I98" s="588">
        <f t="shared" si="18"/>
        <v>0</v>
      </c>
      <c r="J98" s="379">
        <f t="shared" si="18"/>
        <v>0</v>
      </c>
      <c r="K98" s="379">
        <f t="shared" si="18"/>
        <v>0</v>
      </c>
      <c r="L98" s="379">
        <f t="shared" si="18"/>
        <v>0</v>
      </c>
      <c r="M98" s="21">
        <f t="shared" si="18"/>
        <v>0</v>
      </c>
      <c r="N98" s="92">
        <f t="shared" si="18"/>
        <v>0</v>
      </c>
    </row>
    <row r="99" spans="1:18" ht="75" hidden="1">
      <c r="A99" s="31" t="s">
        <v>187</v>
      </c>
      <c r="B99" s="26" t="s">
        <v>186</v>
      </c>
      <c r="C99" s="26" t="s">
        <v>21</v>
      </c>
      <c r="D99" s="26" t="s">
        <v>26</v>
      </c>
      <c r="E99" s="26"/>
      <c r="F99" s="26"/>
      <c r="G99" s="592">
        <f t="shared" ref="G99:M99" si="19">G102+G100</f>
        <v>-853.63300000000004</v>
      </c>
      <c r="H99" s="592">
        <f t="shared" si="19"/>
        <v>1002.7</v>
      </c>
      <c r="I99" s="592">
        <f t="shared" si="19"/>
        <v>0</v>
      </c>
      <c r="J99" s="627">
        <f t="shared" si="19"/>
        <v>0</v>
      </c>
      <c r="K99" s="627">
        <f t="shared" si="19"/>
        <v>0</v>
      </c>
      <c r="L99" s="627">
        <f t="shared" si="19"/>
        <v>0</v>
      </c>
      <c r="M99" s="28">
        <f t="shared" si="19"/>
        <v>0</v>
      </c>
      <c r="N99" s="55">
        <f>N102+N100</f>
        <v>0</v>
      </c>
    </row>
    <row r="100" spans="1:18" ht="51" hidden="1" customHeight="1">
      <c r="A100" s="93" t="s">
        <v>188</v>
      </c>
      <c r="B100" s="26" t="s">
        <v>186</v>
      </c>
      <c r="C100" s="26" t="s">
        <v>21</v>
      </c>
      <c r="D100" s="26" t="s">
        <v>26</v>
      </c>
      <c r="E100" s="26" t="s">
        <v>189</v>
      </c>
      <c r="F100" s="26"/>
      <c r="G100" s="592">
        <f t="shared" ref="G100:N100" si="20">G101</f>
        <v>120.46699999999998</v>
      </c>
      <c r="H100" s="592">
        <f t="shared" si="20"/>
        <v>0</v>
      </c>
      <c r="I100" s="592">
        <f t="shared" si="20"/>
        <v>0</v>
      </c>
      <c r="J100" s="627">
        <f t="shared" si="20"/>
        <v>0</v>
      </c>
      <c r="K100" s="627">
        <f t="shared" si="20"/>
        <v>0</v>
      </c>
      <c r="L100" s="627">
        <f t="shared" si="20"/>
        <v>0</v>
      </c>
      <c r="M100" s="28">
        <f t="shared" si="20"/>
        <v>0</v>
      </c>
      <c r="N100" s="55">
        <f t="shared" si="20"/>
        <v>0</v>
      </c>
    </row>
    <row r="101" spans="1:18" ht="25.5" hidden="1" customHeight="1">
      <c r="A101" s="31" t="s">
        <v>135</v>
      </c>
      <c r="B101" s="26" t="s">
        <v>186</v>
      </c>
      <c r="C101" s="26" t="s">
        <v>21</v>
      </c>
      <c r="D101" s="26" t="s">
        <v>26</v>
      </c>
      <c r="E101" s="26" t="s">
        <v>189</v>
      </c>
      <c r="F101" s="26" t="s">
        <v>133</v>
      </c>
      <c r="G101" s="27">
        <f>455-334.533</f>
        <v>120.46699999999998</v>
      </c>
      <c r="H101" s="592"/>
      <c r="I101" s="27"/>
      <c r="J101" s="627">
        <f>H101+I101</f>
        <v>0</v>
      </c>
      <c r="K101" s="627"/>
      <c r="L101" s="627">
        <f>J101+K101</f>
        <v>0</v>
      </c>
      <c r="M101" s="28"/>
      <c r="N101" s="30">
        <f>L101+M101</f>
        <v>0</v>
      </c>
    </row>
    <row r="102" spans="1:18" ht="75" hidden="1">
      <c r="A102" s="31" t="s">
        <v>190</v>
      </c>
      <c r="B102" s="26" t="s">
        <v>186</v>
      </c>
      <c r="C102" s="26" t="s">
        <v>21</v>
      </c>
      <c r="D102" s="26" t="s">
        <v>26</v>
      </c>
      <c r="E102" s="26" t="s">
        <v>191</v>
      </c>
      <c r="F102" s="26"/>
      <c r="G102" s="147">
        <f t="shared" ref="G102:N103" si="21">G103</f>
        <v>-974.1</v>
      </c>
      <c r="H102" s="147">
        <f t="shared" si="21"/>
        <v>1002.7</v>
      </c>
      <c r="I102" s="147">
        <f t="shared" si="21"/>
        <v>0</v>
      </c>
      <c r="J102" s="627">
        <f t="shared" si="21"/>
        <v>0</v>
      </c>
      <c r="K102" s="627">
        <f t="shared" si="21"/>
        <v>0</v>
      </c>
      <c r="L102" s="627">
        <f t="shared" si="21"/>
        <v>0</v>
      </c>
      <c r="M102" s="42">
        <f t="shared" si="21"/>
        <v>0</v>
      </c>
      <c r="N102" s="43">
        <f t="shared" si="21"/>
        <v>0</v>
      </c>
    </row>
    <row r="103" spans="1:18" hidden="1">
      <c r="A103" s="31" t="s">
        <v>192</v>
      </c>
      <c r="B103" s="26" t="s">
        <v>186</v>
      </c>
      <c r="C103" s="26" t="s">
        <v>21</v>
      </c>
      <c r="D103" s="26" t="s">
        <v>26</v>
      </c>
      <c r="E103" s="26" t="s">
        <v>193</v>
      </c>
      <c r="F103" s="26"/>
      <c r="G103" s="147">
        <f t="shared" si="21"/>
        <v>-974.1</v>
      </c>
      <c r="H103" s="147">
        <f t="shared" si="21"/>
        <v>1002.7</v>
      </c>
      <c r="I103" s="147">
        <f t="shared" si="21"/>
        <v>0</v>
      </c>
      <c r="J103" s="627">
        <f t="shared" si="21"/>
        <v>0</v>
      </c>
      <c r="K103" s="627">
        <f t="shared" si="21"/>
        <v>0</v>
      </c>
      <c r="L103" s="627">
        <f t="shared" si="21"/>
        <v>0</v>
      </c>
      <c r="M103" s="42">
        <f t="shared" si="21"/>
        <v>0</v>
      </c>
      <c r="N103" s="43">
        <f t="shared" si="21"/>
        <v>0</v>
      </c>
    </row>
    <row r="104" spans="1:18" ht="30" hidden="1">
      <c r="A104" s="31" t="s">
        <v>135</v>
      </c>
      <c r="B104" s="26" t="s">
        <v>186</v>
      </c>
      <c r="C104" s="26" t="s">
        <v>21</v>
      </c>
      <c r="D104" s="26" t="s">
        <v>26</v>
      </c>
      <c r="E104" s="26" t="s">
        <v>193</v>
      </c>
      <c r="F104" s="26" t="s">
        <v>133</v>
      </c>
      <c r="G104" s="147">
        <f>-519.1-455</f>
        <v>-974.1</v>
      </c>
      <c r="H104" s="589">
        <v>1002.7</v>
      </c>
      <c r="I104" s="147"/>
      <c r="J104" s="627"/>
      <c r="K104" s="627"/>
      <c r="L104" s="627">
        <f>J104+K104</f>
        <v>0</v>
      </c>
      <c r="M104" s="42"/>
      <c r="N104" s="30">
        <f>L104+M104</f>
        <v>0</v>
      </c>
    </row>
    <row r="105" spans="1:18">
      <c r="A105" s="33" t="s">
        <v>126</v>
      </c>
      <c r="B105" s="34" t="s">
        <v>186</v>
      </c>
      <c r="C105" s="34" t="s">
        <v>32</v>
      </c>
      <c r="D105" s="34"/>
      <c r="E105" s="34"/>
      <c r="F105" s="34"/>
      <c r="G105" s="585" t="e">
        <f t="shared" ref="G105:N105" si="22">G106+G111+G145+G153+G160</f>
        <v>#REF!</v>
      </c>
      <c r="H105" s="588">
        <f t="shared" si="22"/>
        <v>146913.88999999996</v>
      </c>
      <c r="I105" s="588">
        <f t="shared" si="22"/>
        <v>0</v>
      </c>
      <c r="J105" s="379">
        <f t="shared" si="22"/>
        <v>190987.03949999998</v>
      </c>
      <c r="K105" s="379">
        <f t="shared" si="22"/>
        <v>8182.442</v>
      </c>
      <c r="L105" s="379">
        <f t="shared" si="22"/>
        <v>199169.48149999999</v>
      </c>
      <c r="M105" s="36">
        <f t="shared" si="22"/>
        <v>1106.3000000000002</v>
      </c>
      <c r="N105" s="94">
        <f t="shared" si="22"/>
        <v>65755.594200000007</v>
      </c>
    </row>
    <row r="106" spans="1:18">
      <c r="A106" s="24" t="s">
        <v>65</v>
      </c>
      <c r="B106" s="25" t="s">
        <v>186</v>
      </c>
      <c r="C106" s="25" t="s">
        <v>32</v>
      </c>
      <c r="D106" s="25" t="s">
        <v>21</v>
      </c>
      <c r="E106" s="25"/>
      <c r="F106" s="25"/>
      <c r="G106" s="565">
        <f t="shared" ref="G106:N107" si="23">G107</f>
        <v>-926.36</v>
      </c>
      <c r="H106" s="565">
        <f t="shared" si="23"/>
        <v>3734</v>
      </c>
      <c r="I106" s="565">
        <f t="shared" si="23"/>
        <v>0</v>
      </c>
      <c r="J106" s="488">
        <f t="shared" si="23"/>
        <v>0</v>
      </c>
      <c r="K106" s="488">
        <f t="shared" si="23"/>
        <v>0</v>
      </c>
      <c r="L106" s="488">
        <f t="shared" si="23"/>
        <v>0</v>
      </c>
      <c r="M106" s="95">
        <f t="shared" si="23"/>
        <v>805.6</v>
      </c>
      <c r="N106" s="96">
        <f t="shared" si="23"/>
        <v>805.6</v>
      </c>
    </row>
    <row r="107" spans="1:18" hidden="1">
      <c r="A107" s="31" t="s">
        <v>194</v>
      </c>
      <c r="B107" s="26" t="s">
        <v>186</v>
      </c>
      <c r="C107" s="26" t="s">
        <v>32</v>
      </c>
      <c r="D107" s="26" t="s">
        <v>21</v>
      </c>
      <c r="E107" s="26" t="s">
        <v>195</v>
      </c>
      <c r="F107" s="26"/>
      <c r="G107" s="147">
        <f t="shared" si="23"/>
        <v>-926.36</v>
      </c>
      <c r="H107" s="147">
        <f t="shared" si="23"/>
        <v>3734</v>
      </c>
      <c r="I107" s="147">
        <f t="shared" si="23"/>
        <v>0</v>
      </c>
      <c r="J107" s="627">
        <f t="shared" si="23"/>
        <v>0</v>
      </c>
      <c r="K107" s="627">
        <f t="shared" si="23"/>
        <v>0</v>
      </c>
      <c r="L107" s="627">
        <f t="shared" si="23"/>
        <v>0</v>
      </c>
      <c r="M107" s="42">
        <f t="shared" si="23"/>
        <v>805.6</v>
      </c>
      <c r="N107" s="43">
        <f t="shared" si="23"/>
        <v>805.6</v>
      </c>
    </row>
    <row r="108" spans="1:18" ht="30" hidden="1">
      <c r="A108" s="31" t="s">
        <v>145</v>
      </c>
      <c r="B108" s="26" t="s">
        <v>186</v>
      </c>
      <c r="C108" s="26" t="s">
        <v>32</v>
      </c>
      <c r="D108" s="26" t="s">
        <v>21</v>
      </c>
      <c r="E108" s="26" t="s">
        <v>196</v>
      </c>
      <c r="F108" s="26"/>
      <c r="G108" s="147">
        <f t="shared" ref="G108:M108" si="24">G109+G110</f>
        <v>-926.36</v>
      </c>
      <c r="H108" s="147">
        <f t="shared" si="24"/>
        <v>3734</v>
      </c>
      <c r="I108" s="147">
        <f t="shared" si="24"/>
        <v>0</v>
      </c>
      <c r="J108" s="627">
        <f t="shared" si="24"/>
        <v>0</v>
      </c>
      <c r="K108" s="627">
        <f t="shared" si="24"/>
        <v>0</v>
      </c>
      <c r="L108" s="627">
        <f t="shared" si="24"/>
        <v>0</v>
      </c>
      <c r="M108" s="42">
        <f t="shared" si="24"/>
        <v>805.6</v>
      </c>
      <c r="N108" s="43">
        <f>N109+N110</f>
        <v>805.6</v>
      </c>
    </row>
    <row r="109" spans="1:18" ht="30" hidden="1">
      <c r="A109" s="31" t="s">
        <v>197</v>
      </c>
      <c r="B109" s="26" t="s">
        <v>186</v>
      </c>
      <c r="C109" s="26" t="s">
        <v>32</v>
      </c>
      <c r="D109" s="26" t="s">
        <v>21</v>
      </c>
      <c r="E109" s="26" t="s">
        <v>196</v>
      </c>
      <c r="F109" s="26" t="s">
        <v>142</v>
      </c>
      <c r="G109" s="147">
        <f>-36.76+103.4</f>
        <v>66.640000000000015</v>
      </c>
      <c r="H109" s="589">
        <v>2606</v>
      </c>
      <c r="I109" s="147"/>
      <c r="J109" s="627"/>
      <c r="K109" s="627"/>
      <c r="L109" s="627">
        <f>J109+K109</f>
        <v>0</v>
      </c>
      <c r="M109" s="42">
        <f>-44.4+915</f>
        <v>870.6</v>
      </c>
      <c r="N109" s="30">
        <f>L109+M109</f>
        <v>870.6</v>
      </c>
      <c r="P109" s="97"/>
    </row>
    <row r="110" spans="1:18" ht="60" hidden="1">
      <c r="A110" s="31" t="s">
        <v>147</v>
      </c>
      <c r="B110" s="26" t="s">
        <v>186</v>
      </c>
      <c r="C110" s="26" t="s">
        <v>32</v>
      </c>
      <c r="D110" s="26" t="s">
        <v>21</v>
      </c>
      <c r="E110" s="26" t="s">
        <v>198</v>
      </c>
      <c r="F110" s="26" t="s">
        <v>142</v>
      </c>
      <c r="G110" s="147">
        <f>-112.8-880.2</f>
        <v>-993</v>
      </c>
      <c r="H110" s="589">
        <v>1128</v>
      </c>
      <c r="I110" s="147"/>
      <c r="J110" s="627"/>
      <c r="K110" s="627"/>
      <c r="L110" s="627">
        <f>J110+K110</f>
        <v>0</v>
      </c>
      <c r="M110" s="42">
        <v>-65</v>
      </c>
      <c r="N110" s="30">
        <f>L110+M110</f>
        <v>-65</v>
      </c>
    </row>
    <row r="111" spans="1:18">
      <c r="A111" s="24" t="s">
        <v>66</v>
      </c>
      <c r="B111" s="25" t="s">
        <v>186</v>
      </c>
      <c r="C111" s="25" t="s">
        <v>32</v>
      </c>
      <c r="D111" s="25" t="s">
        <v>22</v>
      </c>
      <c r="E111" s="25"/>
      <c r="F111" s="25"/>
      <c r="G111" s="206">
        <f>G114+G125+G136+G141+G143+G112</f>
        <v>5433.36</v>
      </c>
      <c r="H111" s="206">
        <f>H114+H125+H136+H141+H143+H112</f>
        <v>135780.43999999997</v>
      </c>
      <c r="I111" s="206">
        <f>I114+I125+I136+I141+I143+I112</f>
        <v>0</v>
      </c>
      <c r="J111" s="488">
        <f>J114+J125+J136+J141+J143+J112+J130+J133</f>
        <v>180958.58099999998</v>
      </c>
      <c r="K111" s="488">
        <f>K114+K125+K136+K141+K143+K112+K130+K133</f>
        <v>8364.1610000000001</v>
      </c>
      <c r="L111" s="488">
        <f t="shared" ref="L111" si="25">L114+L125+L136+L141+L143+L112+L130+L133</f>
        <v>189322.742</v>
      </c>
      <c r="M111" s="60">
        <f>M114+M125+M136+M141+M143+M112</f>
        <v>1721.3940000000002</v>
      </c>
      <c r="N111" s="98">
        <f>N114+N125+N136+N141+N143+N112</f>
        <v>57878.729700000011</v>
      </c>
    </row>
    <row r="112" spans="1:18" ht="29.25" customHeight="1">
      <c r="A112" s="31" t="s">
        <v>199</v>
      </c>
      <c r="B112" s="26" t="s">
        <v>186</v>
      </c>
      <c r="C112" s="26" t="s">
        <v>32</v>
      </c>
      <c r="D112" s="26" t="s">
        <v>22</v>
      </c>
      <c r="E112" s="26" t="s">
        <v>200</v>
      </c>
      <c r="F112" s="26"/>
      <c r="G112" s="147">
        <f t="shared" ref="G112:N112" si="26">G113</f>
        <v>4600</v>
      </c>
      <c r="H112" s="147">
        <f t="shared" si="26"/>
        <v>0</v>
      </c>
      <c r="I112" s="147">
        <f t="shared" si="26"/>
        <v>0</v>
      </c>
      <c r="J112" s="627">
        <f t="shared" si="26"/>
        <v>4000</v>
      </c>
      <c r="K112" s="627">
        <f t="shared" si="26"/>
        <v>0</v>
      </c>
      <c r="L112" s="627">
        <f t="shared" si="26"/>
        <v>4000</v>
      </c>
      <c r="M112" s="42">
        <f t="shared" si="26"/>
        <v>0</v>
      </c>
      <c r="N112" s="43">
        <f t="shared" si="26"/>
        <v>4000</v>
      </c>
    </row>
    <row r="113" spans="1:20" ht="30" customHeight="1">
      <c r="A113" s="31" t="s">
        <v>197</v>
      </c>
      <c r="B113" s="26" t="s">
        <v>186</v>
      </c>
      <c r="C113" s="26" t="s">
        <v>32</v>
      </c>
      <c r="D113" s="26" t="s">
        <v>22</v>
      </c>
      <c r="E113" s="26" t="s">
        <v>200</v>
      </c>
      <c r="F113" s="26" t="s">
        <v>142</v>
      </c>
      <c r="G113" s="147">
        <v>4600</v>
      </c>
      <c r="H113" s="589"/>
      <c r="I113" s="147"/>
      <c r="J113" s="627">
        <v>4000</v>
      </c>
      <c r="K113" s="627"/>
      <c r="L113" s="627">
        <f>J113+K113</f>
        <v>4000</v>
      </c>
      <c r="M113" s="42"/>
      <c r="N113" s="30">
        <f>L113+M113</f>
        <v>4000</v>
      </c>
    </row>
    <row r="114" spans="1:20" ht="45">
      <c r="A114" s="31" t="s">
        <v>201</v>
      </c>
      <c r="B114" s="26" t="s">
        <v>186</v>
      </c>
      <c r="C114" s="26" t="s">
        <v>32</v>
      </c>
      <c r="D114" s="26" t="s">
        <v>22</v>
      </c>
      <c r="E114" s="26" t="s">
        <v>202</v>
      </c>
      <c r="F114" s="26"/>
      <c r="G114" s="592">
        <f t="shared" ref="G114:N114" si="27">G115</f>
        <v>867.76</v>
      </c>
      <c r="H114" s="592">
        <f t="shared" si="27"/>
        <v>122607.1</v>
      </c>
      <c r="I114" s="592">
        <f t="shared" si="27"/>
        <v>0</v>
      </c>
      <c r="J114" s="627">
        <f t="shared" si="27"/>
        <v>159906.60899999997</v>
      </c>
      <c r="K114" s="627">
        <f>K115</f>
        <v>1345.9710000000005</v>
      </c>
      <c r="L114" s="627">
        <f t="shared" si="27"/>
        <v>161252.58000000002</v>
      </c>
      <c r="M114" s="28">
        <f t="shared" si="27"/>
        <v>1706.3940000000002</v>
      </c>
      <c r="N114" s="55">
        <f t="shared" si="27"/>
        <v>41368.464000000007</v>
      </c>
    </row>
    <row r="115" spans="1:20" ht="30">
      <c r="A115" s="31" t="s">
        <v>145</v>
      </c>
      <c r="B115" s="26" t="s">
        <v>186</v>
      </c>
      <c r="C115" s="26" t="s">
        <v>32</v>
      </c>
      <c r="D115" s="26" t="s">
        <v>22</v>
      </c>
      <c r="E115" s="26" t="s">
        <v>203</v>
      </c>
      <c r="F115" s="26"/>
      <c r="G115" s="147">
        <f>G116+G117</f>
        <v>867.76</v>
      </c>
      <c r="H115" s="147">
        <f>H116+H117</f>
        <v>122607.1</v>
      </c>
      <c r="I115" s="147">
        <f>I116+I117</f>
        <v>0</v>
      </c>
      <c r="J115" s="627">
        <f>J116+J117+J118+J119+J120+J122+J124+J121+J123</f>
        <v>159906.60899999997</v>
      </c>
      <c r="K115" s="627">
        <f>K116+K117+K118+K119+K120+K122+K124+K121+K123</f>
        <v>1345.9710000000005</v>
      </c>
      <c r="L115" s="627">
        <f>L116+L117+L118+L119+L120+L122+L124+L121+L123</f>
        <v>161252.58000000002</v>
      </c>
      <c r="M115" s="345">
        <f>M116+M117+M118+M119+M120+M122+M124</f>
        <v>1706.3940000000002</v>
      </c>
      <c r="N115" s="57">
        <f>N116+N117+N118+N119+N120+N122+N124</f>
        <v>41368.464000000007</v>
      </c>
    </row>
    <row r="116" spans="1:20" ht="30">
      <c r="A116" s="31" t="s">
        <v>197</v>
      </c>
      <c r="B116" s="26" t="s">
        <v>186</v>
      </c>
      <c r="C116" s="26" t="s">
        <v>32</v>
      </c>
      <c r="D116" s="26" t="s">
        <v>22</v>
      </c>
      <c r="E116" s="26" t="s">
        <v>203</v>
      </c>
      <c r="F116" s="26" t="s">
        <v>142</v>
      </c>
      <c r="G116" s="147">
        <f>36.76+38-200</f>
        <v>-125.24000000000001</v>
      </c>
      <c r="H116" s="589">
        <v>121495.1</v>
      </c>
      <c r="I116" s="147"/>
      <c r="J116" s="627">
        <v>36426.599000000002</v>
      </c>
      <c r="K116" s="627">
        <f>50-2.76-669.769+248.2</f>
        <v>-374.32900000000001</v>
      </c>
      <c r="L116" s="627">
        <f t="shared" ref="L116:L124" si="28">J116+K116</f>
        <v>36052.270000000004</v>
      </c>
      <c r="M116" s="99">
        <f>102.98+1108+1100.414</f>
        <v>2311.3940000000002</v>
      </c>
      <c r="N116" s="30">
        <f>L116+M116</f>
        <v>38363.664000000004</v>
      </c>
      <c r="O116" s="44">
        <f>31884.555-250-1213-200</f>
        <v>30221.555</v>
      </c>
      <c r="P116" s="14">
        <f>L116-O116</f>
        <v>5830.7150000000038</v>
      </c>
      <c r="T116" s="15">
        <f>L120+L122</f>
        <v>7027.2400000000007</v>
      </c>
    </row>
    <row r="117" spans="1:20" ht="60">
      <c r="A117" s="31" t="s">
        <v>147</v>
      </c>
      <c r="B117" s="26" t="s">
        <v>186</v>
      </c>
      <c r="C117" s="26" t="s">
        <v>32</v>
      </c>
      <c r="D117" s="26" t="s">
        <v>22</v>
      </c>
      <c r="E117" s="26" t="s">
        <v>204</v>
      </c>
      <c r="F117" s="26" t="s">
        <v>142</v>
      </c>
      <c r="G117" s="147">
        <f>112.8+880.2</f>
        <v>993</v>
      </c>
      <c r="H117" s="589">
        <v>1112</v>
      </c>
      <c r="I117" s="147"/>
      <c r="J117" s="627">
        <v>3609.8</v>
      </c>
      <c r="K117" s="627"/>
      <c r="L117" s="627">
        <f t="shared" si="28"/>
        <v>3609.8</v>
      </c>
      <c r="M117" s="42">
        <f>-605</f>
        <v>-605</v>
      </c>
      <c r="N117" s="30">
        <f>L117+M117</f>
        <v>3004.8</v>
      </c>
      <c r="O117" s="11">
        <v>3609.8</v>
      </c>
      <c r="P117" s="15">
        <f>L117-O117</f>
        <v>0</v>
      </c>
    </row>
    <row r="118" spans="1:20" ht="90">
      <c r="A118" s="100" t="s">
        <v>205</v>
      </c>
      <c r="B118" s="26" t="s">
        <v>186</v>
      </c>
      <c r="C118" s="26" t="s">
        <v>32</v>
      </c>
      <c r="D118" s="26" t="s">
        <v>22</v>
      </c>
      <c r="E118" s="26" t="s">
        <v>206</v>
      </c>
      <c r="F118" s="26" t="s">
        <v>142</v>
      </c>
      <c r="G118" s="147"/>
      <c r="H118" s="589"/>
      <c r="I118" s="147"/>
      <c r="J118" s="627">
        <v>107914.7</v>
      </c>
      <c r="K118" s="627">
        <f>4679.5</f>
        <v>4679.5</v>
      </c>
      <c r="L118" s="627">
        <f t="shared" si="28"/>
        <v>112594.2</v>
      </c>
      <c r="M118" s="42"/>
      <c r="N118" s="30"/>
      <c r="O118" s="11">
        <v>91019</v>
      </c>
    </row>
    <row r="119" spans="1:20" ht="75">
      <c r="A119" s="31" t="s">
        <v>207</v>
      </c>
      <c r="B119" s="26" t="s">
        <v>186</v>
      </c>
      <c r="C119" s="26" t="s">
        <v>32</v>
      </c>
      <c r="D119" s="26" t="s">
        <v>22</v>
      </c>
      <c r="E119" s="26" t="s">
        <v>208</v>
      </c>
      <c r="F119" s="26" t="s">
        <v>142</v>
      </c>
      <c r="G119" s="147"/>
      <c r="H119" s="589"/>
      <c r="I119" s="147"/>
      <c r="J119" s="627">
        <v>412.77</v>
      </c>
      <c r="K119" s="628">
        <v>-80</v>
      </c>
      <c r="L119" s="627">
        <f t="shared" si="28"/>
        <v>332.77</v>
      </c>
      <c r="M119" s="42"/>
      <c r="N119" s="30"/>
      <c r="O119" s="11">
        <v>396.7</v>
      </c>
      <c r="P119" s="15">
        <f>K119</f>
        <v>-80</v>
      </c>
    </row>
    <row r="120" spans="1:20" ht="45">
      <c r="A120" s="31" t="s">
        <v>153</v>
      </c>
      <c r="B120" s="26" t="s">
        <v>186</v>
      </c>
      <c r="C120" s="26" t="s">
        <v>32</v>
      </c>
      <c r="D120" s="26" t="s">
        <v>22</v>
      </c>
      <c r="E120" s="26" t="s">
        <v>209</v>
      </c>
      <c r="F120" s="26" t="s">
        <v>142</v>
      </c>
      <c r="G120" s="147"/>
      <c r="H120" s="589"/>
      <c r="I120" s="147"/>
      <c r="J120" s="627">
        <v>9055.0727000000006</v>
      </c>
      <c r="K120" s="628">
        <v>-2479.1999999999998</v>
      </c>
      <c r="L120" s="627">
        <f t="shared" si="28"/>
        <v>6575.8727000000008</v>
      </c>
      <c r="M120" s="42"/>
      <c r="N120" s="30"/>
    </row>
    <row r="121" spans="1:20" ht="30" hidden="1">
      <c r="A121" s="100" t="s">
        <v>152</v>
      </c>
      <c r="B121" s="26" t="s">
        <v>186</v>
      </c>
      <c r="C121" s="26" t="s">
        <v>32</v>
      </c>
      <c r="D121" s="26" t="s">
        <v>22</v>
      </c>
      <c r="E121" s="26" t="s">
        <v>209</v>
      </c>
      <c r="F121" s="26" t="s">
        <v>142</v>
      </c>
      <c r="G121" s="147"/>
      <c r="H121" s="589"/>
      <c r="I121" s="147"/>
      <c r="J121" s="627"/>
      <c r="K121" s="627"/>
      <c r="L121" s="627">
        <f>J121+K121</f>
        <v>0</v>
      </c>
      <c r="M121" s="42"/>
      <c r="N121" s="30"/>
    </row>
    <row r="122" spans="1:20" ht="45">
      <c r="A122" s="31" t="s">
        <v>155</v>
      </c>
      <c r="B122" s="26" t="s">
        <v>186</v>
      </c>
      <c r="C122" s="26" t="s">
        <v>32</v>
      </c>
      <c r="D122" s="26" t="s">
        <v>22</v>
      </c>
      <c r="E122" s="26" t="s">
        <v>210</v>
      </c>
      <c r="F122" s="26" t="s">
        <v>142</v>
      </c>
      <c r="G122" s="147"/>
      <c r="H122" s="589"/>
      <c r="I122" s="147"/>
      <c r="J122" s="627">
        <v>851.3673</v>
      </c>
      <c r="K122" s="627">
        <f>-400</f>
        <v>-400</v>
      </c>
      <c r="L122" s="627">
        <f t="shared" si="28"/>
        <v>451.3673</v>
      </c>
      <c r="M122" s="42"/>
      <c r="N122" s="30"/>
      <c r="O122" s="11">
        <v>1213</v>
      </c>
      <c r="R122" s="15">
        <f>L122+L120</f>
        <v>7027.2400000000007</v>
      </c>
    </row>
    <row r="123" spans="1:20" ht="75" hidden="1">
      <c r="A123" s="31" t="s">
        <v>207</v>
      </c>
      <c r="B123" s="26" t="s">
        <v>186</v>
      </c>
      <c r="C123" s="26" t="s">
        <v>32</v>
      </c>
      <c r="D123" s="26" t="s">
        <v>22</v>
      </c>
      <c r="E123" s="26" t="s">
        <v>210</v>
      </c>
      <c r="F123" s="26" t="s">
        <v>142</v>
      </c>
      <c r="G123" s="147"/>
      <c r="H123" s="589"/>
      <c r="I123" s="147"/>
      <c r="J123" s="627"/>
      <c r="K123" s="627"/>
      <c r="L123" s="627">
        <f>J123+K123</f>
        <v>0</v>
      </c>
      <c r="M123" s="42"/>
      <c r="N123" s="30"/>
      <c r="P123" s="15">
        <f>K123</f>
        <v>0</v>
      </c>
    </row>
    <row r="124" spans="1:20" ht="60">
      <c r="A124" s="31" t="s">
        <v>211</v>
      </c>
      <c r="B124" s="26" t="s">
        <v>186</v>
      </c>
      <c r="C124" s="26" t="s">
        <v>32</v>
      </c>
      <c r="D124" s="26" t="s">
        <v>22</v>
      </c>
      <c r="E124" s="26" t="s">
        <v>212</v>
      </c>
      <c r="F124" s="26" t="s">
        <v>142</v>
      </c>
      <c r="G124" s="147"/>
      <c r="H124" s="589"/>
      <c r="I124" s="147"/>
      <c r="J124" s="627">
        <v>1636.3</v>
      </c>
      <c r="K124" s="627"/>
      <c r="L124" s="627">
        <f t="shared" si="28"/>
        <v>1636.3</v>
      </c>
      <c r="M124" s="42"/>
      <c r="N124" s="30"/>
      <c r="O124" s="11">
        <v>1636.3</v>
      </c>
      <c r="P124" s="15">
        <f>K124</f>
        <v>0</v>
      </c>
      <c r="S124" s="15">
        <f>K122+K120</f>
        <v>-2879.2</v>
      </c>
    </row>
    <row r="125" spans="1:20" ht="30">
      <c r="A125" s="31" t="s">
        <v>213</v>
      </c>
      <c r="B125" s="26" t="s">
        <v>186</v>
      </c>
      <c r="C125" s="26" t="s">
        <v>32</v>
      </c>
      <c r="D125" s="26" t="s">
        <v>22</v>
      </c>
      <c r="E125" s="26" t="s">
        <v>214</v>
      </c>
      <c r="F125" s="26"/>
      <c r="G125" s="147">
        <f t="shared" ref="G125:N125" si="29">G126</f>
        <v>165.6</v>
      </c>
      <c r="H125" s="147">
        <f t="shared" si="29"/>
        <v>10207.24</v>
      </c>
      <c r="I125" s="147">
        <f t="shared" si="29"/>
        <v>0</v>
      </c>
      <c r="J125" s="627">
        <f t="shared" si="29"/>
        <v>9902.9719999999998</v>
      </c>
      <c r="K125" s="627">
        <f>K126</f>
        <v>-173.97899999999998</v>
      </c>
      <c r="L125" s="627">
        <f t="shared" si="29"/>
        <v>9728.9930000000004</v>
      </c>
      <c r="M125" s="42">
        <f t="shared" si="29"/>
        <v>15</v>
      </c>
      <c r="N125" s="43">
        <f t="shared" si="29"/>
        <v>9471.2656999999999</v>
      </c>
    </row>
    <row r="126" spans="1:20" ht="30">
      <c r="A126" s="31" t="s">
        <v>145</v>
      </c>
      <c r="B126" s="26" t="s">
        <v>186</v>
      </c>
      <c r="C126" s="26" t="s">
        <v>32</v>
      </c>
      <c r="D126" s="26" t="s">
        <v>22</v>
      </c>
      <c r="E126" s="26" t="s">
        <v>215</v>
      </c>
      <c r="F126" s="26"/>
      <c r="G126" s="147">
        <f t="shared" ref="G126:M126" si="30">G127+G129</f>
        <v>165.6</v>
      </c>
      <c r="H126" s="147">
        <f t="shared" si="30"/>
        <v>10207.24</v>
      </c>
      <c r="I126" s="147">
        <f t="shared" si="30"/>
        <v>0</v>
      </c>
      <c r="J126" s="627">
        <f>J127+J129+J128</f>
        <v>9902.9719999999998</v>
      </c>
      <c r="K126" s="627">
        <f>K127+K129+K128</f>
        <v>-173.97899999999998</v>
      </c>
      <c r="L126" s="627">
        <f>L127+L129+L128</f>
        <v>9728.9930000000004</v>
      </c>
      <c r="M126" s="42">
        <f t="shared" si="30"/>
        <v>15</v>
      </c>
      <c r="N126" s="55">
        <f>N127+N129</f>
        <v>9471.2656999999999</v>
      </c>
    </row>
    <row r="127" spans="1:20" ht="27.75" customHeight="1">
      <c r="A127" s="31" t="s">
        <v>152</v>
      </c>
      <c r="B127" s="26" t="s">
        <v>186</v>
      </c>
      <c r="C127" s="26" t="s">
        <v>32</v>
      </c>
      <c r="D127" s="26" t="s">
        <v>22</v>
      </c>
      <c r="E127" s="26" t="s">
        <v>215</v>
      </c>
      <c r="F127" s="26" t="s">
        <v>142</v>
      </c>
      <c r="G127" s="147">
        <v>165.6</v>
      </c>
      <c r="H127" s="589">
        <v>10077.24</v>
      </c>
      <c r="I127" s="147"/>
      <c r="J127" s="627">
        <v>9402.9719999999998</v>
      </c>
      <c r="K127" s="629">
        <f>93.905+32.116-300</f>
        <v>-173.97899999999998</v>
      </c>
      <c r="L127" s="627">
        <f>J127+K127</f>
        <v>9228.9930000000004</v>
      </c>
      <c r="M127" s="42">
        <f>15</f>
        <v>15</v>
      </c>
      <c r="N127" s="55">
        <f>L127+M127</f>
        <v>9243.9930000000004</v>
      </c>
      <c r="O127" s="44">
        <v>8117.3050000000003</v>
      </c>
      <c r="P127" s="14">
        <f>L127-O127</f>
        <v>1111.6880000000001</v>
      </c>
    </row>
    <row r="128" spans="1:20" ht="27.75" customHeight="1">
      <c r="A128" s="31" t="s">
        <v>153</v>
      </c>
      <c r="B128" s="26" t="s">
        <v>186</v>
      </c>
      <c r="C128" s="26" t="s">
        <v>32</v>
      </c>
      <c r="D128" s="26" t="s">
        <v>22</v>
      </c>
      <c r="E128" s="26" t="s">
        <v>216</v>
      </c>
      <c r="F128" s="26" t="s">
        <v>142</v>
      </c>
      <c r="G128" s="147"/>
      <c r="H128" s="589"/>
      <c r="I128" s="147"/>
      <c r="J128" s="627">
        <v>272.72730000000001</v>
      </c>
      <c r="K128" s="629"/>
      <c r="L128" s="627">
        <f>J128+K128</f>
        <v>272.72730000000001</v>
      </c>
      <c r="M128" s="42"/>
      <c r="N128" s="55"/>
      <c r="O128" s="44"/>
      <c r="P128" s="14"/>
    </row>
    <row r="129" spans="1:14" ht="45">
      <c r="A129" s="31" t="s">
        <v>155</v>
      </c>
      <c r="B129" s="26" t="s">
        <v>186</v>
      </c>
      <c r="C129" s="26" t="s">
        <v>32</v>
      </c>
      <c r="D129" s="26" t="s">
        <v>22</v>
      </c>
      <c r="E129" s="26" t="s">
        <v>217</v>
      </c>
      <c r="F129" s="26" t="s">
        <v>142</v>
      </c>
      <c r="G129" s="147"/>
      <c r="H129" s="589">
        <v>130</v>
      </c>
      <c r="I129" s="147"/>
      <c r="J129" s="627">
        <v>227.27269999999999</v>
      </c>
      <c r="K129" s="627"/>
      <c r="L129" s="627">
        <f>J129+K129</f>
        <v>227.27269999999999</v>
      </c>
      <c r="M129" s="42"/>
      <c r="N129" s="30">
        <f>L129+M129</f>
        <v>227.27269999999999</v>
      </c>
    </row>
    <row r="130" spans="1:14" ht="45">
      <c r="A130" s="31" t="s">
        <v>1149</v>
      </c>
      <c r="B130" s="26" t="s">
        <v>186</v>
      </c>
      <c r="C130" s="26" t="s">
        <v>32</v>
      </c>
      <c r="D130" s="26" t="s">
        <v>22</v>
      </c>
      <c r="E130" s="26" t="s">
        <v>1135</v>
      </c>
      <c r="F130" s="26"/>
      <c r="G130" s="147"/>
      <c r="H130" s="589"/>
      <c r="I130" s="147"/>
      <c r="J130" s="627">
        <f>SUM(J131:J132)</f>
        <v>4150</v>
      </c>
      <c r="K130" s="627">
        <f>SUM(K131:K132)</f>
        <v>2554</v>
      </c>
      <c r="L130" s="627">
        <f>SUM(L131:L132)</f>
        <v>6704</v>
      </c>
      <c r="M130" s="466">
        <f>SUM(M131:M132)</f>
        <v>0</v>
      </c>
      <c r="N130" s="378">
        <f>SUM(N131:N132)</f>
        <v>0</v>
      </c>
    </row>
    <row r="131" spans="1:14" ht="30">
      <c r="A131" s="31" t="s">
        <v>197</v>
      </c>
      <c r="B131" s="26" t="s">
        <v>186</v>
      </c>
      <c r="C131" s="26" t="s">
        <v>32</v>
      </c>
      <c r="D131" s="26" t="s">
        <v>22</v>
      </c>
      <c r="E131" s="26" t="s">
        <v>1135</v>
      </c>
      <c r="F131" s="26" t="s">
        <v>142</v>
      </c>
      <c r="G131" s="147"/>
      <c r="H131" s="589"/>
      <c r="I131" s="147"/>
      <c r="J131" s="627">
        <v>4000</v>
      </c>
      <c r="K131" s="627">
        <v>2554</v>
      </c>
      <c r="L131" s="627">
        <f>J131+K131</f>
        <v>6554</v>
      </c>
      <c r="M131" s="42"/>
      <c r="N131" s="30"/>
    </row>
    <row r="132" spans="1:14" ht="30">
      <c r="A132" s="31" t="s">
        <v>152</v>
      </c>
      <c r="B132" s="26" t="s">
        <v>186</v>
      </c>
      <c r="C132" s="26" t="s">
        <v>32</v>
      </c>
      <c r="D132" s="26" t="s">
        <v>22</v>
      </c>
      <c r="E132" s="26" t="s">
        <v>1136</v>
      </c>
      <c r="F132" s="26" t="s">
        <v>142</v>
      </c>
      <c r="G132" s="147"/>
      <c r="H132" s="589"/>
      <c r="I132" s="147"/>
      <c r="J132" s="627">
        <v>150</v>
      </c>
      <c r="K132" s="627"/>
      <c r="L132" s="627">
        <f>J132+K132</f>
        <v>150</v>
      </c>
      <c r="M132" s="42"/>
      <c r="N132" s="30"/>
    </row>
    <row r="133" spans="1:14" ht="30">
      <c r="A133" s="31" t="s">
        <v>1193</v>
      </c>
      <c r="B133" s="26" t="s">
        <v>186</v>
      </c>
      <c r="C133" s="26" t="s">
        <v>32</v>
      </c>
      <c r="D133" s="26" t="s">
        <v>22</v>
      </c>
      <c r="E133" s="26" t="s">
        <v>1191</v>
      </c>
      <c r="F133" s="26"/>
      <c r="G133" s="147"/>
      <c r="H133" s="589"/>
      <c r="I133" s="147"/>
      <c r="J133" s="627">
        <f>J134+J135</f>
        <v>0</v>
      </c>
      <c r="K133" s="627">
        <f t="shared" ref="K133:L133" si="31">K134+K135</f>
        <v>4598.1689999999999</v>
      </c>
      <c r="L133" s="627">
        <f t="shared" si="31"/>
        <v>4598.1689999999999</v>
      </c>
      <c r="M133" s="42"/>
      <c r="N133" s="30"/>
    </row>
    <row r="134" spans="1:14" ht="30">
      <c r="A134" s="31" t="s">
        <v>1194</v>
      </c>
      <c r="B134" s="26" t="s">
        <v>186</v>
      </c>
      <c r="C134" s="26" t="s">
        <v>32</v>
      </c>
      <c r="D134" s="26" t="s">
        <v>22</v>
      </c>
      <c r="E134" s="26" t="s">
        <v>1191</v>
      </c>
      <c r="F134" s="26" t="s">
        <v>142</v>
      </c>
      <c r="G134" s="147"/>
      <c r="H134" s="589"/>
      <c r="I134" s="147"/>
      <c r="J134" s="627"/>
      <c r="K134" s="627">
        <v>4367.3689999999997</v>
      </c>
      <c r="L134" s="627">
        <f>J134+K134</f>
        <v>4367.3689999999997</v>
      </c>
      <c r="M134" s="42"/>
      <c r="N134" s="30"/>
    </row>
    <row r="135" spans="1:14" ht="30">
      <c r="A135" s="31" t="s">
        <v>1195</v>
      </c>
      <c r="B135" s="26" t="s">
        <v>186</v>
      </c>
      <c r="C135" s="26" t="s">
        <v>32</v>
      </c>
      <c r="D135" s="26" t="s">
        <v>22</v>
      </c>
      <c r="E135" s="26" t="s">
        <v>1192</v>
      </c>
      <c r="F135" s="26" t="s">
        <v>142</v>
      </c>
      <c r="G135" s="147"/>
      <c r="H135" s="589"/>
      <c r="I135" s="147"/>
      <c r="J135" s="627"/>
      <c r="K135" s="627">
        <v>230.8</v>
      </c>
      <c r="L135" s="627">
        <f>J135+K135</f>
        <v>230.8</v>
      </c>
      <c r="M135" s="42"/>
      <c r="N135" s="30"/>
    </row>
    <row r="136" spans="1:14" ht="30">
      <c r="A136" s="31" t="s">
        <v>170</v>
      </c>
      <c r="B136" s="26" t="s">
        <v>186</v>
      </c>
      <c r="C136" s="26" t="s">
        <v>32</v>
      </c>
      <c r="D136" s="26" t="s">
        <v>22</v>
      </c>
      <c r="E136" s="26" t="s">
        <v>171</v>
      </c>
      <c r="F136" s="26"/>
      <c r="G136" s="147">
        <f t="shared" ref="G136:N137" si="32">G137</f>
        <v>0</v>
      </c>
      <c r="H136" s="147">
        <f t="shared" si="32"/>
        <v>2756.5</v>
      </c>
      <c r="I136" s="147">
        <f t="shared" si="32"/>
        <v>0</v>
      </c>
      <c r="J136" s="627">
        <f>J137+J139</f>
        <v>2585</v>
      </c>
      <c r="K136" s="627">
        <f>K137+K139</f>
        <v>0</v>
      </c>
      <c r="L136" s="627">
        <f>L137+L139</f>
        <v>2585</v>
      </c>
      <c r="M136" s="29">
        <f>M137+M139</f>
        <v>0</v>
      </c>
      <c r="N136" s="30">
        <f>N137+N139</f>
        <v>2585</v>
      </c>
    </row>
    <row r="137" spans="1:14" ht="75">
      <c r="A137" s="31" t="s">
        <v>218</v>
      </c>
      <c r="B137" s="26" t="s">
        <v>186</v>
      </c>
      <c r="C137" s="26" t="s">
        <v>32</v>
      </c>
      <c r="D137" s="26" t="s">
        <v>22</v>
      </c>
      <c r="E137" s="26" t="s">
        <v>219</v>
      </c>
      <c r="F137" s="26"/>
      <c r="G137" s="147">
        <f t="shared" si="32"/>
        <v>0</v>
      </c>
      <c r="H137" s="589">
        <f t="shared" si="32"/>
        <v>2756.5</v>
      </c>
      <c r="I137" s="147">
        <f t="shared" si="32"/>
        <v>0</v>
      </c>
      <c r="J137" s="627">
        <f t="shared" si="32"/>
        <v>2585</v>
      </c>
      <c r="K137" s="627">
        <f>K138</f>
        <v>0</v>
      </c>
      <c r="L137" s="627">
        <f t="shared" si="32"/>
        <v>2585</v>
      </c>
      <c r="M137" s="42">
        <f t="shared" si="32"/>
        <v>0</v>
      </c>
      <c r="N137" s="30">
        <f t="shared" si="32"/>
        <v>2585</v>
      </c>
    </row>
    <row r="138" spans="1:14" ht="30">
      <c r="A138" s="31" t="s">
        <v>152</v>
      </c>
      <c r="B138" s="26" t="s">
        <v>186</v>
      </c>
      <c r="C138" s="26" t="s">
        <v>32</v>
      </c>
      <c r="D138" s="26" t="s">
        <v>22</v>
      </c>
      <c r="E138" s="26" t="s">
        <v>219</v>
      </c>
      <c r="F138" s="26" t="s">
        <v>142</v>
      </c>
      <c r="G138" s="147"/>
      <c r="H138" s="589">
        <v>2756.5</v>
      </c>
      <c r="I138" s="147"/>
      <c r="J138" s="627">
        <v>2585</v>
      </c>
      <c r="K138" s="627"/>
      <c r="L138" s="627">
        <f>J138+K138</f>
        <v>2585</v>
      </c>
      <c r="M138" s="42"/>
      <c r="N138" s="30">
        <f>L138+M138</f>
        <v>2585</v>
      </c>
    </row>
    <row r="139" spans="1:14" ht="45" hidden="1">
      <c r="A139" s="178" t="s">
        <v>220</v>
      </c>
      <c r="B139" s="595" t="s">
        <v>186</v>
      </c>
      <c r="C139" s="596" t="s">
        <v>32</v>
      </c>
      <c r="D139" s="596" t="s">
        <v>22</v>
      </c>
      <c r="E139" s="597">
        <v>5201200</v>
      </c>
      <c r="F139" s="596"/>
      <c r="G139" s="147"/>
      <c r="H139" s="589"/>
      <c r="I139" s="147"/>
      <c r="J139" s="627">
        <f>J140</f>
        <v>0</v>
      </c>
      <c r="K139" s="627">
        <f>K140</f>
        <v>0</v>
      </c>
      <c r="L139" s="627">
        <f>L140</f>
        <v>0</v>
      </c>
      <c r="M139" s="42">
        <f>M140</f>
        <v>0</v>
      </c>
      <c r="N139" s="30">
        <f>N140</f>
        <v>0</v>
      </c>
    </row>
    <row r="140" spans="1:14" ht="30" hidden="1">
      <c r="A140" s="178" t="s">
        <v>152</v>
      </c>
      <c r="B140" s="595" t="s">
        <v>186</v>
      </c>
      <c r="C140" s="596" t="s">
        <v>32</v>
      </c>
      <c r="D140" s="596" t="s">
        <v>22</v>
      </c>
      <c r="E140" s="597">
        <v>5201200</v>
      </c>
      <c r="F140" s="596" t="s">
        <v>142</v>
      </c>
      <c r="G140" s="147"/>
      <c r="H140" s="589"/>
      <c r="I140" s="147"/>
      <c r="J140" s="627"/>
      <c r="K140" s="627"/>
      <c r="L140" s="627">
        <f>J140+K140</f>
        <v>0</v>
      </c>
      <c r="M140" s="42"/>
      <c r="N140" s="30">
        <f>L140+M140</f>
        <v>0</v>
      </c>
    </row>
    <row r="141" spans="1:14" ht="17.25" hidden="1" customHeight="1">
      <c r="A141" s="88" t="s">
        <v>221</v>
      </c>
      <c r="B141" s="47" t="s">
        <v>186</v>
      </c>
      <c r="C141" s="47" t="s">
        <v>32</v>
      </c>
      <c r="D141" s="47" t="s">
        <v>22</v>
      </c>
      <c r="E141" s="47" t="s">
        <v>222</v>
      </c>
      <c r="F141" s="47"/>
      <c r="G141" s="590">
        <f t="shared" ref="G141:N141" si="33">G142</f>
        <v>-100</v>
      </c>
      <c r="H141" s="590">
        <f t="shared" si="33"/>
        <v>104.8</v>
      </c>
      <c r="I141" s="590">
        <f t="shared" si="33"/>
        <v>0</v>
      </c>
      <c r="J141" s="628">
        <f t="shared" si="33"/>
        <v>0</v>
      </c>
      <c r="K141" s="628">
        <f t="shared" si="33"/>
        <v>0</v>
      </c>
      <c r="L141" s="628">
        <f t="shared" si="33"/>
        <v>0</v>
      </c>
      <c r="M141" s="42">
        <f t="shared" si="33"/>
        <v>0</v>
      </c>
      <c r="N141" s="43">
        <f t="shared" si="33"/>
        <v>0</v>
      </c>
    </row>
    <row r="142" spans="1:14" ht="17.25" hidden="1" customHeight="1">
      <c r="A142" s="88" t="s">
        <v>223</v>
      </c>
      <c r="B142" s="47" t="s">
        <v>186</v>
      </c>
      <c r="C142" s="47" t="s">
        <v>32</v>
      </c>
      <c r="D142" s="47" t="s">
        <v>22</v>
      </c>
      <c r="E142" s="47" t="s">
        <v>222</v>
      </c>
      <c r="F142" s="47" t="s">
        <v>224</v>
      </c>
      <c r="G142" s="590">
        <v>-100</v>
      </c>
      <c r="H142" s="591">
        <v>104.8</v>
      </c>
      <c r="I142" s="590"/>
      <c r="J142" s="628"/>
      <c r="K142" s="628"/>
      <c r="L142" s="628">
        <f>J142+K142</f>
        <v>0</v>
      </c>
      <c r="M142" s="42"/>
      <c r="N142" s="30">
        <f>L142+M142</f>
        <v>0</v>
      </c>
    </row>
    <row r="143" spans="1:14" ht="45" customHeight="1">
      <c r="A143" s="31" t="s">
        <v>225</v>
      </c>
      <c r="B143" s="26" t="s">
        <v>186</v>
      </c>
      <c r="C143" s="26" t="s">
        <v>32</v>
      </c>
      <c r="D143" s="26" t="s">
        <v>22</v>
      </c>
      <c r="E143" s="26" t="s">
        <v>226</v>
      </c>
      <c r="F143" s="26"/>
      <c r="G143" s="147">
        <f t="shared" ref="G143:N143" si="34">G144</f>
        <v>-100</v>
      </c>
      <c r="H143" s="147">
        <f t="shared" si="34"/>
        <v>104.8</v>
      </c>
      <c r="I143" s="147">
        <f t="shared" si="34"/>
        <v>0</v>
      </c>
      <c r="J143" s="627">
        <f t="shared" si="34"/>
        <v>414</v>
      </c>
      <c r="K143" s="627">
        <f t="shared" si="34"/>
        <v>40</v>
      </c>
      <c r="L143" s="627">
        <f t="shared" si="34"/>
        <v>454</v>
      </c>
      <c r="M143" s="42">
        <f t="shared" si="34"/>
        <v>0</v>
      </c>
      <c r="N143" s="43">
        <f t="shared" si="34"/>
        <v>454</v>
      </c>
    </row>
    <row r="144" spans="1:14" ht="29.25" customHeight="1">
      <c r="A144" s="31" t="s">
        <v>135</v>
      </c>
      <c r="B144" s="26" t="s">
        <v>186</v>
      </c>
      <c r="C144" s="26" t="s">
        <v>32</v>
      </c>
      <c r="D144" s="26" t="s">
        <v>22</v>
      </c>
      <c r="E144" s="26" t="s">
        <v>226</v>
      </c>
      <c r="F144" s="26" t="s">
        <v>133</v>
      </c>
      <c r="G144" s="147">
        <v>-100</v>
      </c>
      <c r="H144" s="589">
        <v>104.8</v>
      </c>
      <c r="I144" s="147"/>
      <c r="J144" s="627">
        <v>414</v>
      </c>
      <c r="K144" s="627">
        <f>37.24+2.76</f>
        <v>40</v>
      </c>
      <c r="L144" s="627">
        <f>J144+K144</f>
        <v>454</v>
      </c>
      <c r="M144" s="42"/>
      <c r="N144" s="55">
        <f>L144+M144</f>
        <v>454</v>
      </c>
    </row>
    <row r="145" spans="1:16" ht="29.25">
      <c r="A145" s="24" t="s">
        <v>227</v>
      </c>
      <c r="B145" s="25" t="s">
        <v>186</v>
      </c>
      <c r="C145" s="25" t="s">
        <v>32</v>
      </c>
      <c r="D145" s="25" t="s">
        <v>28</v>
      </c>
      <c r="E145" s="25"/>
      <c r="F145" s="25"/>
      <c r="G145" s="565" t="e">
        <f t="shared" ref="G145:M145" si="35">G146+G149</f>
        <v>#REF!</v>
      </c>
      <c r="H145" s="565">
        <f t="shared" si="35"/>
        <v>234.8</v>
      </c>
      <c r="I145" s="565">
        <f t="shared" si="35"/>
        <v>0</v>
      </c>
      <c r="J145" s="488">
        <f>J146+J149+J151</f>
        <v>329.21</v>
      </c>
      <c r="K145" s="488">
        <f t="shared" ref="K145:L145" si="36">K146+K149+K151</f>
        <v>0</v>
      </c>
      <c r="L145" s="488">
        <f t="shared" si="36"/>
        <v>329.21</v>
      </c>
      <c r="M145" s="95">
        <f t="shared" si="35"/>
        <v>44.61</v>
      </c>
      <c r="N145" s="96">
        <f>N146+N149</f>
        <v>131.48899999999998</v>
      </c>
    </row>
    <row r="146" spans="1:16" ht="30">
      <c r="A146" s="31" t="s">
        <v>128</v>
      </c>
      <c r="B146" s="26" t="s">
        <v>186</v>
      </c>
      <c r="C146" s="26" t="s">
        <v>32</v>
      </c>
      <c r="D146" s="26" t="s">
        <v>28</v>
      </c>
      <c r="E146" s="26" t="s">
        <v>129</v>
      </c>
      <c r="F146" s="26"/>
      <c r="G146" s="147">
        <f t="shared" ref="G146:N147" si="37">G147</f>
        <v>-224</v>
      </c>
      <c r="H146" s="147">
        <f t="shared" si="37"/>
        <v>234.8</v>
      </c>
      <c r="I146" s="147">
        <f t="shared" si="37"/>
        <v>0</v>
      </c>
      <c r="J146" s="627">
        <f t="shared" si="37"/>
        <v>329.21</v>
      </c>
      <c r="K146" s="627">
        <f t="shared" si="37"/>
        <v>-242.33099999999999</v>
      </c>
      <c r="L146" s="627">
        <f t="shared" si="37"/>
        <v>86.878999999999991</v>
      </c>
      <c r="M146" s="42">
        <f t="shared" si="37"/>
        <v>0</v>
      </c>
      <c r="N146" s="43">
        <f t="shared" si="37"/>
        <v>86.878999999999991</v>
      </c>
    </row>
    <row r="147" spans="1:16" ht="30">
      <c r="A147" s="31" t="s">
        <v>130</v>
      </c>
      <c r="B147" s="26" t="s">
        <v>186</v>
      </c>
      <c r="C147" s="26" t="s">
        <v>32</v>
      </c>
      <c r="D147" s="26" t="s">
        <v>28</v>
      </c>
      <c r="E147" s="26" t="s">
        <v>131</v>
      </c>
      <c r="F147" s="26"/>
      <c r="G147" s="147">
        <f t="shared" si="37"/>
        <v>-224</v>
      </c>
      <c r="H147" s="147">
        <f t="shared" si="37"/>
        <v>234.8</v>
      </c>
      <c r="I147" s="147">
        <f t="shared" si="37"/>
        <v>0</v>
      </c>
      <c r="J147" s="627">
        <f t="shared" si="37"/>
        <v>329.21</v>
      </c>
      <c r="K147" s="627">
        <f t="shared" si="37"/>
        <v>-242.33099999999999</v>
      </c>
      <c r="L147" s="627">
        <f t="shared" si="37"/>
        <v>86.878999999999991</v>
      </c>
      <c r="M147" s="42">
        <f t="shared" si="37"/>
        <v>0</v>
      </c>
      <c r="N147" s="43">
        <f t="shared" si="37"/>
        <v>86.878999999999991</v>
      </c>
    </row>
    <row r="148" spans="1:16" ht="30">
      <c r="A148" s="31" t="s">
        <v>135</v>
      </c>
      <c r="B148" s="26" t="s">
        <v>186</v>
      </c>
      <c r="C148" s="26" t="s">
        <v>32</v>
      </c>
      <c r="D148" s="26" t="s">
        <v>28</v>
      </c>
      <c r="E148" s="26" t="s">
        <v>131</v>
      </c>
      <c r="F148" s="26" t="s">
        <v>133</v>
      </c>
      <c r="G148" s="147">
        <v>-224</v>
      </c>
      <c r="H148" s="589">
        <v>234.8</v>
      </c>
      <c r="I148" s="147"/>
      <c r="J148" s="627">
        <v>329.21</v>
      </c>
      <c r="K148" s="627">
        <f>-117.664-62-62.667</f>
        <v>-242.33099999999999</v>
      </c>
      <c r="L148" s="627">
        <f>J148+K148</f>
        <v>86.878999999999991</v>
      </c>
      <c r="M148" s="42"/>
      <c r="N148" s="30">
        <f>L148+M148</f>
        <v>86.878999999999991</v>
      </c>
      <c r="O148" s="44">
        <v>273.31</v>
      </c>
    </row>
    <row r="149" spans="1:16" ht="30" hidden="1">
      <c r="A149" s="31" t="s">
        <v>130</v>
      </c>
      <c r="B149" s="26" t="s">
        <v>186</v>
      </c>
      <c r="C149" s="26" t="s">
        <v>32</v>
      </c>
      <c r="D149" s="26" t="s">
        <v>28</v>
      </c>
      <c r="E149" s="26" t="s">
        <v>134</v>
      </c>
      <c r="F149" s="26"/>
      <c r="G149" s="147" t="e">
        <f t="shared" ref="G149:N149" si="38">G150</f>
        <v>#REF!</v>
      </c>
      <c r="H149" s="147">
        <f t="shared" si="38"/>
        <v>0</v>
      </c>
      <c r="I149" s="147">
        <f t="shared" si="38"/>
        <v>0</v>
      </c>
      <c r="J149" s="627">
        <f t="shared" si="38"/>
        <v>0</v>
      </c>
      <c r="K149" s="627">
        <f t="shared" si="38"/>
        <v>0</v>
      </c>
      <c r="L149" s="627">
        <f t="shared" si="38"/>
        <v>0</v>
      </c>
      <c r="M149" s="42">
        <f t="shared" si="38"/>
        <v>44.61</v>
      </c>
      <c r="N149" s="43">
        <f t="shared" si="38"/>
        <v>44.61</v>
      </c>
    </row>
    <row r="150" spans="1:16" ht="30" hidden="1">
      <c r="A150" s="31" t="s">
        <v>135</v>
      </c>
      <c r="B150" s="26" t="s">
        <v>186</v>
      </c>
      <c r="C150" s="26" t="s">
        <v>32</v>
      </c>
      <c r="D150" s="26" t="s">
        <v>28</v>
      </c>
      <c r="E150" s="26" t="s">
        <v>134</v>
      </c>
      <c r="F150" s="26" t="s">
        <v>133</v>
      </c>
      <c r="G150" s="589" t="e">
        <f>H150-#REF!</f>
        <v>#REF!</v>
      </c>
      <c r="H150" s="589"/>
      <c r="I150" s="589"/>
      <c r="J150" s="627"/>
      <c r="K150" s="627"/>
      <c r="L150" s="627">
        <f>J150+K150</f>
        <v>0</v>
      </c>
      <c r="M150" s="29">
        <f>44.61</f>
        <v>44.61</v>
      </c>
      <c r="N150" s="30">
        <f>L150+M150</f>
        <v>44.61</v>
      </c>
    </row>
    <row r="151" spans="1:16" ht="30">
      <c r="A151" s="31" t="s">
        <v>1193</v>
      </c>
      <c r="B151" s="26" t="s">
        <v>186</v>
      </c>
      <c r="C151" s="26" t="s">
        <v>32</v>
      </c>
      <c r="D151" s="26" t="s">
        <v>28</v>
      </c>
      <c r="E151" s="26" t="s">
        <v>1191</v>
      </c>
      <c r="F151" s="26"/>
      <c r="G151" s="589"/>
      <c r="H151" s="589"/>
      <c r="I151" s="589"/>
      <c r="J151" s="627">
        <f>J152</f>
        <v>0</v>
      </c>
      <c r="K151" s="627">
        <f t="shared" ref="K151:L151" si="39">K152</f>
        <v>242.33099999999999</v>
      </c>
      <c r="L151" s="627">
        <f t="shared" si="39"/>
        <v>242.33099999999999</v>
      </c>
      <c r="M151" s="29"/>
      <c r="N151" s="30"/>
    </row>
    <row r="152" spans="1:16" ht="30">
      <c r="A152" s="31" t="s">
        <v>1194</v>
      </c>
      <c r="B152" s="26" t="s">
        <v>186</v>
      </c>
      <c r="C152" s="26" t="s">
        <v>32</v>
      </c>
      <c r="D152" s="26" t="s">
        <v>28</v>
      </c>
      <c r="E152" s="26" t="s">
        <v>1191</v>
      </c>
      <c r="F152" s="26" t="s">
        <v>142</v>
      </c>
      <c r="G152" s="589"/>
      <c r="H152" s="589"/>
      <c r="I152" s="589"/>
      <c r="J152" s="627"/>
      <c r="K152" s="627">
        <v>242.33099999999999</v>
      </c>
      <c r="L152" s="627">
        <f>J152+K152</f>
        <v>242.33099999999999</v>
      </c>
      <c r="M152" s="29"/>
      <c r="N152" s="30"/>
    </row>
    <row r="153" spans="1:16" ht="29.25">
      <c r="A153" s="24" t="s">
        <v>68</v>
      </c>
      <c r="B153" s="25" t="s">
        <v>186</v>
      </c>
      <c r="C153" s="25" t="s">
        <v>32</v>
      </c>
      <c r="D153" s="25" t="s">
        <v>32</v>
      </c>
      <c r="E153" s="25"/>
      <c r="F153" s="25"/>
      <c r="G153" s="565">
        <f t="shared" ref="G153:N154" si="40">G154</f>
        <v>821</v>
      </c>
      <c r="H153" s="565">
        <f t="shared" si="40"/>
        <v>650</v>
      </c>
      <c r="I153" s="565">
        <f t="shared" si="40"/>
        <v>0</v>
      </c>
      <c r="J153" s="488">
        <f t="shared" si="40"/>
        <v>2485.7325000000001</v>
      </c>
      <c r="K153" s="488">
        <f t="shared" si="40"/>
        <v>0</v>
      </c>
      <c r="L153" s="488">
        <f t="shared" si="40"/>
        <v>2485.7325000000001</v>
      </c>
      <c r="M153" s="95">
        <f t="shared" si="40"/>
        <v>670</v>
      </c>
      <c r="N153" s="96">
        <f t="shared" si="40"/>
        <v>2765.5325000000003</v>
      </c>
    </row>
    <row r="154" spans="1:16" ht="45">
      <c r="A154" s="31" t="s">
        <v>228</v>
      </c>
      <c r="B154" s="26" t="s">
        <v>186</v>
      </c>
      <c r="C154" s="26" t="s">
        <v>32</v>
      </c>
      <c r="D154" s="26" t="s">
        <v>32</v>
      </c>
      <c r="E154" s="26" t="s">
        <v>229</v>
      </c>
      <c r="F154" s="26"/>
      <c r="G154" s="147">
        <f t="shared" si="40"/>
        <v>821</v>
      </c>
      <c r="H154" s="147">
        <f t="shared" si="40"/>
        <v>650</v>
      </c>
      <c r="I154" s="147">
        <f t="shared" si="40"/>
        <v>0</v>
      </c>
      <c r="J154" s="627">
        <f t="shared" si="40"/>
        <v>2485.7325000000001</v>
      </c>
      <c r="K154" s="627">
        <f t="shared" si="40"/>
        <v>0</v>
      </c>
      <c r="L154" s="627">
        <f>L155</f>
        <v>2485.7325000000001</v>
      </c>
      <c r="M154" s="42">
        <f t="shared" si="40"/>
        <v>670</v>
      </c>
      <c r="N154" s="43">
        <f t="shared" si="40"/>
        <v>2765.5325000000003</v>
      </c>
    </row>
    <row r="155" spans="1:16">
      <c r="A155" s="31" t="s">
        <v>230</v>
      </c>
      <c r="B155" s="26" t="s">
        <v>186</v>
      </c>
      <c r="C155" s="26" t="s">
        <v>32</v>
      </c>
      <c r="D155" s="26" t="s">
        <v>32</v>
      </c>
      <c r="E155" s="26" t="s">
        <v>231</v>
      </c>
      <c r="F155" s="26"/>
      <c r="G155" s="147">
        <f t="shared" ref="G155:M155" si="41">G156+G157</f>
        <v>821</v>
      </c>
      <c r="H155" s="147">
        <f t="shared" si="41"/>
        <v>650</v>
      </c>
      <c r="I155" s="147">
        <f t="shared" si="41"/>
        <v>0</v>
      </c>
      <c r="J155" s="627">
        <f>J156+J157+J158+J159</f>
        <v>2485.7325000000001</v>
      </c>
      <c r="K155" s="627">
        <f>K156+K157+K158+K159</f>
        <v>0</v>
      </c>
      <c r="L155" s="627">
        <f>L156+L157+L158+L159</f>
        <v>2485.7325000000001</v>
      </c>
      <c r="M155" s="42">
        <f t="shared" si="41"/>
        <v>670</v>
      </c>
      <c r="N155" s="43">
        <f>N156+N157</f>
        <v>2765.5325000000003</v>
      </c>
    </row>
    <row r="156" spans="1:16" ht="30">
      <c r="A156" s="31" t="s">
        <v>152</v>
      </c>
      <c r="B156" s="26" t="s">
        <v>186</v>
      </c>
      <c r="C156" s="26" t="s">
        <v>32</v>
      </c>
      <c r="D156" s="26" t="s">
        <v>32</v>
      </c>
      <c r="E156" s="26" t="s">
        <v>231</v>
      </c>
      <c r="F156" s="26" t="s">
        <v>142</v>
      </c>
      <c r="G156" s="147">
        <v>321</v>
      </c>
      <c r="H156" s="589">
        <v>650</v>
      </c>
      <c r="I156" s="147"/>
      <c r="J156" s="627">
        <v>396.53250000000003</v>
      </c>
      <c r="K156" s="628"/>
      <c r="L156" s="627">
        <f>J156+K156</f>
        <v>396.53250000000003</v>
      </c>
      <c r="M156" s="42"/>
      <c r="N156" s="30">
        <f>L156+M156</f>
        <v>396.53250000000003</v>
      </c>
      <c r="O156" s="101">
        <v>200</v>
      </c>
      <c r="P156" s="15">
        <f>L156-O156</f>
        <v>196.53250000000003</v>
      </c>
    </row>
    <row r="157" spans="1:16">
      <c r="A157" s="31" t="s">
        <v>230</v>
      </c>
      <c r="B157" s="26" t="s">
        <v>186</v>
      </c>
      <c r="C157" s="26" t="s">
        <v>32</v>
      </c>
      <c r="D157" s="26" t="s">
        <v>32</v>
      </c>
      <c r="E157" s="26" t="s">
        <v>233</v>
      </c>
      <c r="F157" s="26" t="s">
        <v>142</v>
      </c>
      <c r="G157" s="147">
        <v>500</v>
      </c>
      <c r="H157" s="589"/>
      <c r="I157" s="147"/>
      <c r="J157" s="627">
        <v>1699</v>
      </c>
      <c r="K157" s="627"/>
      <c r="L157" s="627">
        <f>J157+K157</f>
        <v>1699</v>
      </c>
      <c r="M157" s="42">
        <v>670</v>
      </c>
      <c r="N157" s="30">
        <f>L157+M157</f>
        <v>2369</v>
      </c>
      <c r="O157" s="11">
        <v>190.2</v>
      </c>
    </row>
    <row r="158" spans="1:16" ht="30">
      <c r="A158" s="31" t="s">
        <v>152</v>
      </c>
      <c r="B158" s="26" t="s">
        <v>186</v>
      </c>
      <c r="C158" s="26" t="s">
        <v>32</v>
      </c>
      <c r="D158" s="26" t="s">
        <v>32</v>
      </c>
      <c r="E158" s="26" t="s">
        <v>1027</v>
      </c>
      <c r="F158" s="26" t="s">
        <v>142</v>
      </c>
      <c r="G158" s="147"/>
      <c r="H158" s="589"/>
      <c r="I158" s="147"/>
      <c r="J158" s="627">
        <v>200</v>
      </c>
      <c r="K158" s="627"/>
      <c r="L158" s="627">
        <f>J158+K158</f>
        <v>200</v>
      </c>
      <c r="M158" s="270"/>
      <c r="N158" s="61"/>
    </row>
    <row r="159" spans="1:16" ht="60">
      <c r="A159" s="31" t="s">
        <v>232</v>
      </c>
      <c r="B159" s="26" t="s">
        <v>186</v>
      </c>
      <c r="C159" s="26" t="s">
        <v>32</v>
      </c>
      <c r="D159" s="26" t="s">
        <v>32</v>
      </c>
      <c r="E159" s="26" t="s">
        <v>1026</v>
      </c>
      <c r="F159" s="26" t="s">
        <v>142</v>
      </c>
      <c r="G159" s="147"/>
      <c r="H159" s="589"/>
      <c r="I159" s="147"/>
      <c r="J159" s="627">
        <v>190.2</v>
      </c>
      <c r="K159" s="627"/>
      <c r="L159" s="627">
        <f>J159+K159</f>
        <v>190.2</v>
      </c>
      <c r="M159" s="270"/>
      <c r="N159" s="61"/>
    </row>
    <row r="160" spans="1:16" ht="26.25" customHeight="1">
      <c r="A160" s="24" t="s">
        <v>69</v>
      </c>
      <c r="B160" s="25" t="s">
        <v>186</v>
      </c>
      <c r="C160" s="25" t="s">
        <v>32</v>
      </c>
      <c r="D160" s="25" t="s">
        <v>47</v>
      </c>
      <c r="E160" s="25"/>
      <c r="F160" s="25"/>
      <c r="G160" s="565">
        <f>G161+G167+G170+G172</f>
        <v>878.1</v>
      </c>
      <c r="H160" s="565">
        <f>H161+H167+H170+H172</f>
        <v>6514.65</v>
      </c>
      <c r="I160" s="565">
        <f>I161+I167+I170+I172</f>
        <v>0</v>
      </c>
      <c r="J160" s="488">
        <f>J161+J167+J170+J172+J165</f>
        <v>7213.5160000000005</v>
      </c>
      <c r="K160" s="488">
        <f>K161+K167+K170+K172+K165</f>
        <v>-181.71899999999999</v>
      </c>
      <c r="L160" s="488">
        <f>L161+L167+L170+L172+L165</f>
        <v>7031.7970000000005</v>
      </c>
      <c r="M160" s="344">
        <f>M161+M167+M170+M172+M165</f>
        <v>-2135.3040000000001</v>
      </c>
      <c r="N160" s="54">
        <f>N161+N167+N170+N172+N165</f>
        <v>4174.2430000000004</v>
      </c>
    </row>
    <row r="161" spans="1:16" ht="75">
      <c r="A161" s="31" t="s">
        <v>190</v>
      </c>
      <c r="B161" s="26" t="s">
        <v>186</v>
      </c>
      <c r="C161" s="26" t="s">
        <v>32</v>
      </c>
      <c r="D161" s="26" t="s">
        <v>47</v>
      </c>
      <c r="E161" s="26" t="s">
        <v>191</v>
      </c>
      <c r="F161" s="26"/>
      <c r="G161" s="147">
        <f t="shared" ref="G161:N161" si="42">G162</f>
        <v>598.1</v>
      </c>
      <c r="H161" s="147">
        <f t="shared" si="42"/>
        <v>1303.6500000000001</v>
      </c>
      <c r="I161" s="147">
        <f t="shared" si="42"/>
        <v>0</v>
      </c>
      <c r="J161" s="627">
        <f t="shared" si="42"/>
        <v>1108.9469999999999</v>
      </c>
      <c r="K161" s="627">
        <f t="shared" si="42"/>
        <v>0</v>
      </c>
      <c r="L161" s="627">
        <f t="shared" si="42"/>
        <v>1108.9469999999999</v>
      </c>
      <c r="M161" s="28">
        <f t="shared" si="42"/>
        <v>-119.89</v>
      </c>
      <c r="N161" s="43">
        <f t="shared" si="42"/>
        <v>989.0569999999999</v>
      </c>
    </row>
    <row r="162" spans="1:16">
      <c r="A162" s="31" t="s">
        <v>192</v>
      </c>
      <c r="B162" s="26" t="s">
        <v>186</v>
      </c>
      <c r="C162" s="26" t="s">
        <v>32</v>
      </c>
      <c r="D162" s="26" t="s">
        <v>47</v>
      </c>
      <c r="E162" s="26" t="s">
        <v>193</v>
      </c>
      <c r="F162" s="26"/>
      <c r="G162" s="147">
        <f t="shared" ref="G162:M162" si="43">G163+G164</f>
        <v>598.1</v>
      </c>
      <c r="H162" s="592">
        <f t="shared" si="43"/>
        <v>1303.6500000000001</v>
      </c>
      <c r="I162" s="592">
        <f t="shared" si="43"/>
        <v>0</v>
      </c>
      <c r="J162" s="627">
        <f t="shared" si="43"/>
        <v>1108.9469999999999</v>
      </c>
      <c r="K162" s="627">
        <f t="shared" si="43"/>
        <v>0</v>
      </c>
      <c r="L162" s="627">
        <f t="shared" si="43"/>
        <v>1108.9469999999999</v>
      </c>
      <c r="M162" s="28">
        <f t="shared" si="43"/>
        <v>-119.89</v>
      </c>
      <c r="N162" s="55">
        <f>N163+N164</f>
        <v>989.0569999999999</v>
      </c>
    </row>
    <row r="163" spans="1:16" ht="30" hidden="1">
      <c r="A163" s="31" t="s">
        <v>152</v>
      </c>
      <c r="B163" s="26" t="s">
        <v>186</v>
      </c>
      <c r="C163" s="26" t="s">
        <v>32</v>
      </c>
      <c r="D163" s="26" t="s">
        <v>47</v>
      </c>
      <c r="E163" s="26" t="s">
        <v>193</v>
      </c>
      <c r="F163" s="25" t="s">
        <v>234</v>
      </c>
      <c r="G163" s="147"/>
      <c r="H163" s="592">
        <v>1303.6500000000001</v>
      </c>
      <c r="I163" s="592"/>
      <c r="J163" s="627"/>
      <c r="K163" s="627"/>
      <c r="L163" s="627">
        <f>J163+K163</f>
        <v>0</v>
      </c>
      <c r="M163" s="28">
        <f>-119.89</f>
        <v>-119.89</v>
      </c>
      <c r="N163" s="55">
        <f>L163+M163</f>
        <v>-119.89</v>
      </c>
    </row>
    <row r="164" spans="1:16" ht="30">
      <c r="A164" s="31" t="s">
        <v>135</v>
      </c>
      <c r="B164" s="26" t="s">
        <v>186</v>
      </c>
      <c r="C164" s="26" t="s">
        <v>32</v>
      </c>
      <c r="D164" s="26" t="s">
        <v>47</v>
      </c>
      <c r="E164" s="26" t="s">
        <v>193</v>
      </c>
      <c r="F164" s="26" t="s">
        <v>133</v>
      </c>
      <c r="G164" s="147">
        <f>519.1+79</f>
        <v>598.1</v>
      </c>
      <c r="H164" s="589"/>
      <c r="I164" s="147"/>
      <c r="J164" s="627">
        <v>1108.9469999999999</v>
      </c>
      <c r="K164" s="627"/>
      <c r="L164" s="627">
        <f>J164+K164</f>
        <v>1108.9469999999999</v>
      </c>
      <c r="M164" s="42"/>
      <c r="N164" s="30">
        <f>L164+M164</f>
        <v>1108.9469999999999</v>
      </c>
      <c r="O164" s="44">
        <v>1049.99</v>
      </c>
      <c r="P164" s="45">
        <f>L164-O164</f>
        <v>58.95699999999988</v>
      </c>
    </row>
    <row r="165" spans="1:16" ht="75">
      <c r="A165" s="93" t="s">
        <v>235</v>
      </c>
      <c r="B165" s="26" t="s">
        <v>186</v>
      </c>
      <c r="C165" s="26" t="s">
        <v>32</v>
      </c>
      <c r="D165" s="26" t="s">
        <v>47</v>
      </c>
      <c r="E165" s="26" t="s">
        <v>236</v>
      </c>
      <c r="F165" s="26"/>
      <c r="G165" s="147"/>
      <c r="H165" s="589"/>
      <c r="I165" s="147"/>
      <c r="J165" s="627">
        <f>J166</f>
        <v>722.25</v>
      </c>
      <c r="K165" s="627">
        <f>K166</f>
        <v>0</v>
      </c>
      <c r="L165" s="627">
        <f>L166</f>
        <v>722.25</v>
      </c>
      <c r="M165" s="42"/>
      <c r="N165" s="30"/>
    </row>
    <row r="166" spans="1:16" ht="30">
      <c r="A166" s="31" t="s">
        <v>135</v>
      </c>
      <c r="B166" s="26" t="s">
        <v>186</v>
      </c>
      <c r="C166" s="26" t="s">
        <v>32</v>
      </c>
      <c r="D166" s="26" t="s">
        <v>47</v>
      </c>
      <c r="E166" s="26" t="s">
        <v>236</v>
      </c>
      <c r="F166" s="26" t="s">
        <v>133</v>
      </c>
      <c r="G166" s="147"/>
      <c r="H166" s="589"/>
      <c r="I166" s="147"/>
      <c r="J166" s="627">
        <v>722.25</v>
      </c>
      <c r="K166" s="628"/>
      <c r="L166" s="627">
        <f>J166+K166</f>
        <v>722.25</v>
      </c>
      <c r="M166" s="42"/>
      <c r="N166" s="30"/>
      <c r="O166" s="11">
        <v>515</v>
      </c>
      <c r="P166" s="15">
        <f>K166</f>
        <v>0</v>
      </c>
    </row>
    <row r="167" spans="1:16" ht="105">
      <c r="A167" s="31" t="s">
        <v>237</v>
      </c>
      <c r="B167" s="26" t="s">
        <v>186</v>
      </c>
      <c r="C167" s="26" t="s">
        <v>32</v>
      </c>
      <c r="D167" s="26" t="s">
        <v>47</v>
      </c>
      <c r="E167" s="26" t="s">
        <v>175</v>
      </c>
      <c r="F167" s="26"/>
      <c r="G167" s="147">
        <f t="shared" ref="G167:N168" si="44">G168</f>
        <v>80</v>
      </c>
      <c r="H167" s="147">
        <f t="shared" si="44"/>
        <v>5211</v>
      </c>
      <c r="I167" s="147">
        <f t="shared" si="44"/>
        <v>0</v>
      </c>
      <c r="J167" s="627">
        <f t="shared" si="44"/>
        <v>5132.3190000000004</v>
      </c>
      <c r="K167" s="627">
        <f t="shared" si="44"/>
        <v>66.480999999999995</v>
      </c>
      <c r="L167" s="627">
        <f t="shared" si="44"/>
        <v>5198.8</v>
      </c>
      <c r="M167" s="42">
        <f t="shared" si="44"/>
        <v>-2015.414</v>
      </c>
      <c r="N167" s="43">
        <f t="shared" si="44"/>
        <v>3183.3860000000004</v>
      </c>
    </row>
    <row r="168" spans="1:16" ht="30">
      <c r="A168" s="31" t="s">
        <v>145</v>
      </c>
      <c r="B168" s="26" t="s">
        <v>186</v>
      </c>
      <c r="C168" s="26" t="s">
        <v>32</v>
      </c>
      <c r="D168" s="26" t="s">
        <v>47</v>
      </c>
      <c r="E168" s="26" t="s">
        <v>176</v>
      </c>
      <c r="F168" s="26"/>
      <c r="G168" s="147">
        <f t="shared" si="44"/>
        <v>80</v>
      </c>
      <c r="H168" s="147">
        <f t="shared" si="44"/>
        <v>5211</v>
      </c>
      <c r="I168" s="147">
        <f t="shared" si="44"/>
        <v>0</v>
      </c>
      <c r="J168" s="627">
        <f t="shared" si="44"/>
        <v>5132.3190000000004</v>
      </c>
      <c r="K168" s="627">
        <f t="shared" si="44"/>
        <v>66.480999999999995</v>
      </c>
      <c r="L168" s="627">
        <f t="shared" si="44"/>
        <v>5198.8</v>
      </c>
      <c r="M168" s="42">
        <f t="shared" si="44"/>
        <v>-2015.414</v>
      </c>
      <c r="N168" s="43">
        <f t="shared" si="44"/>
        <v>3183.3860000000004</v>
      </c>
    </row>
    <row r="169" spans="1:16" ht="30">
      <c r="A169" s="31" t="s">
        <v>197</v>
      </c>
      <c r="B169" s="26" t="s">
        <v>186</v>
      </c>
      <c r="C169" s="26" t="s">
        <v>32</v>
      </c>
      <c r="D169" s="26" t="s">
        <v>47</v>
      </c>
      <c r="E169" s="26" t="s">
        <v>176</v>
      </c>
      <c r="F169" s="26" t="s">
        <v>142</v>
      </c>
      <c r="G169" s="147">
        <f>50+30</f>
        <v>80</v>
      </c>
      <c r="H169" s="589">
        <v>5211</v>
      </c>
      <c r="I169" s="147"/>
      <c r="J169" s="627">
        <v>5132.3190000000004</v>
      </c>
      <c r="K169" s="627">
        <f>49.539+16.942</f>
        <v>66.480999999999995</v>
      </c>
      <c r="L169" s="627">
        <f>J169+K169</f>
        <v>5198.8</v>
      </c>
      <c r="M169" s="42">
        <v>-2015.414</v>
      </c>
      <c r="N169" s="30">
        <f>L169+M169</f>
        <v>3183.3860000000004</v>
      </c>
      <c r="O169" s="44">
        <v>4988.6189999999997</v>
      </c>
      <c r="P169" s="14">
        <f>L169-O169</f>
        <v>210.18100000000049</v>
      </c>
    </row>
    <row r="170" spans="1:16" ht="43.5" hidden="1" customHeight="1">
      <c r="A170" s="88" t="s">
        <v>225</v>
      </c>
      <c r="B170" s="47" t="s">
        <v>186</v>
      </c>
      <c r="C170" s="47" t="s">
        <v>32</v>
      </c>
      <c r="D170" s="47" t="s">
        <v>47</v>
      </c>
      <c r="E170" s="47" t="s">
        <v>222</v>
      </c>
      <c r="F170" s="47"/>
      <c r="G170" s="590">
        <f t="shared" ref="G170:N170" si="45">G171</f>
        <v>100</v>
      </c>
      <c r="H170" s="590">
        <f t="shared" si="45"/>
        <v>0</v>
      </c>
      <c r="I170" s="590">
        <f t="shared" si="45"/>
        <v>0</v>
      </c>
      <c r="J170" s="628">
        <f t="shared" si="45"/>
        <v>0</v>
      </c>
      <c r="K170" s="628">
        <f t="shared" si="45"/>
        <v>0</v>
      </c>
      <c r="L170" s="628">
        <f t="shared" si="45"/>
        <v>0</v>
      </c>
      <c r="M170" s="42">
        <f t="shared" si="45"/>
        <v>0</v>
      </c>
      <c r="N170" s="43">
        <f t="shared" si="45"/>
        <v>0</v>
      </c>
    </row>
    <row r="171" spans="1:16" ht="23.25" hidden="1" customHeight="1">
      <c r="A171" s="88" t="s">
        <v>223</v>
      </c>
      <c r="B171" s="47" t="s">
        <v>186</v>
      </c>
      <c r="C171" s="47" t="s">
        <v>32</v>
      </c>
      <c r="D171" s="47" t="s">
        <v>47</v>
      </c>
      <c r="E171" s="47" t="s">
        <v>222</v>
      </c>
      <c r="F171" s="47" t="s">
        <v>224</v>
      </c>
      <c r="G171" s="590">
        <v>100</v>
      </c>
      <c r="H171" s="591"/>
      <c r="I171" s="590"/>
      <c r="J171" s="628"/>
      <c r="K171" s="628"/>
      <c r="L171" s="628">
        <f>J171+K171</f>
        <v>0</v>
      </c>
      <c r="M171" s="42"/>
      <c r="N171" s="30">
        <f>L171+M171</f>
        <v>0</v>
      </c>
    </row>
    <row r="172" spans="1:16" ht="60">
      <c r="A172" s="31" t="s">
        <v>238</v>
      </c>
      <c r="B172" s="26" t="s">
        <v>186</v>
      </c>
      <c r="C172" s="26" t="s">
        <v>32</v>
      </c>
      <c r="D172" s="26" t="s">
        <v>47</v>
      </c>
      <c r="E172" s="26" t="s">
        <v>239</v>
      </c>
      <c r="F172" s="26"/>
      <c r="G172" s="147">
        <f t="shared" ref="G172:N172" si="46">G173</f>
        <v>100</v>
      </c>
      <c r="H172" s="147">
        <f t="shared" si="46"/>
        <v>0</v>
      </c>
      <c r="I172" s="147">
        <f t="shared" si="46"/>
        <v>0</v>
      </c>
      <c r="J172" s="627">
        <f t="shared" si="46"/>
        <v>250</v>
      </c>
      <c r="K172" s="627">
        <f t="shared" si="46"/>
        <v>-248.2</v>
      </c>
      <c r="L172" s="627">
        <f t="shared" si="46"/>
        <v>1.8000000000000114</v>
      </c>
      <c r="M172" s="42">
        <f t="shared" si="46"/>
        <v>0</v>
      </c>
      <c r="N172" s="43">
        <f t="shared" si="46"/>
        <v>1.8000000000000114</v>
      </c>
    </row>
    <row r="173" spans="1:16" ht="30">
      <c r="A173" s="31" t="s">
        <v>135</v>
      </c>
      <c r="B173" s="26" t="s">
        <v>186</v>
      </c>
      <c r="C173" s="26" t="s">
        <v>32</v>
      </c>
      <c r="D173" s="26" t="s">
        <v>47</v>
      </c>
      <c r="E173" s="26" t="s">
        <v>239</v>
      </c>
      <c r="F173" s="26" t="s">
        <v>133</v>
      </c>
      <c r="G173" s="147">
        <v>100</v>
      </c>
      <c r="H173" s="589"/>
      <c r="I173" s="147"/>
      <c r="J173" s="627">
        <v>250</v>
      </c>
      <c r="K173" s="627">
        <f>-248.2</f>
        <v>-248.2</v>
      </c>
      <c r="L173" s="627">
        <f>J173+K173</f>
        <v>1.8000000000000114</v>
      </c>
      <c r="M173" s="42"/>
      <c r="N173" s="30">
        <f>L173+M173</f>
        <v>1.8000000000000114</v>
      </c>
      <c r="O173" s="44"/>
    </row>
    <row r="174" spans="1:16">
      <c r="A174" s="33" t="s">
        <v>86</v>
      </c>
      <c r="B174" s="34" t="s">
        <v>186</v>
      </c>
      <c r="C174" s="34" t="s">
        <v>85</v>
      </c>
      <c r="D174" s="34"/>
      <c r="E174" s="34"/>
      <c r="F174" s="34"/>
      <c r="G174" s="585">
        <f t="shared" ref="G174:M174" si="47">G175+G179</f>
        <v>5942.8729699999994</v>
      </c>
      <c r="H174" s="585">
        <f t="shared" si="47"/>
        <v>11149.7</v>
      </c>
      <c r="I174" s="585">
        <f t="shared" si="47"/>
        <v>0</v>
      </c>
      <c r="J174" s="379">
        <f t="shared" si="47"/>
        <v>16193.199999999999</v>
      </c>
      <c r="K174" s="379">
        <f>K175+K179</f>
        <v>6006.5</v>
      </c>
      <c r="L174" s="379">
        <f t="shared" si="47"/>
        <v>22199.699999999997</v>
      </c>
      <c r="M174" s="40">
        <f t="shared" si="47"/>
        <v>0</v>
      </c>
      <c r="N174" s="41">
        <f>N175+N179</f>
        <v>9621.2999999999993</v>
      </c>
    </row>
    <row r="175" spans="1:16" ht="29.25">
      <c r="A175" s="24" t="s">
        <v>240</v>
      </c>
      <c r="B175" s="25" t="s">
        <v>186</v>
      </c>
      <c r="C175" s="25" t="s">
        <v>85</v>
      </c>
      <c r="D175" s="25" t="s">
        <v>24</v>
      </c>
      <c r="E175" s="25"/>
      <c r="F175" s="25"/>
      <c r="G175" s="565">
        <f t="shared" ref="G175:N175" si="48">G176</f>
        <v>681.32999999999993</v>
      </c>
      <c r="H175" s="565">
        <f t="shared" si="48"/>
        <v>2954.9</v>
      </c>
      <c r="I175" s="565">
        <f t="shared" si="48"/>
        <v>0</v>
      </c>
      <c r="J175" s="488">
        <f t="shared" si="48"/>
        <v>0</v>
      </c>
      <c r="K175" s="488">
        <f t="shared" si="48"/>
        <v>0</v>
      </c>
      <c r="L175" s="488">
        <f t="shared" si="48"/>
        <v>0</v>
      </c>
      <c r="M175" s="95">
        <f t="shared" si="48"/>
        <v>0</v>
      </c>
      <c r="N175" s="96">
        <f t="shared" si="48"/>
        <v>0</v>
      </c>
    </row>
    <row r="176" spans="1:16" ht="90">
      <c r="A176" s="31" t="s">
        <v>241</v>
      </c>
      <c r="B176" s="26" t="s">
        <v>186</v>
      </c>
      <c r="C176" s="26" t="s">
        <v>85</v>
      </c>
      <c r="D176" s="26" t="s">
        <v>24</v>
      </c>
      <c r="E176" s="26" t="s">
        <v>242</v>
      </c>
      <c r="F176" s="26"/>
      <c r="G176" s="147">
        <f t="shared" ref="G176:M176" si="49">G177+G178</f>
        <v>681.32999999999993</v>
      </c>
      <c r="H176" s="147">
        <f t="shared" si="49"/>
        <v>2954.9</v>
      </c>
      <c r="I176" s="147">
        <f t="shared" si="49"/>
        <v>0</v>
      </c>
      <c r="J176" s="627">
        <f t="shared" si="49"/>
        <v>0</v>
      </c>
      <c r="K176" s="627">
        <f t="shared" si="49"/>
        <v>0</v>
      </c>
      <c r="L176" s="627">
        <f t="shared" si="49"/>
        <v>0</v>
      </c>
      <c r="M176" s="42">
        <f t="shared" si="49"/>
        <v>0</v>
      </c>
      <c r="N176" s="43">
        <f>N177+N178</f>
        <v>0</v>
      </c>
    </row>
    <row r="177" spans="1:16">
      <c r="A177" s="31" t="s">
        <v>243</v>
      </c>
      <c r="B177" s="26" t="s">
        <v>186</v>
      </c>
      <c r="C177" s="26" t="s">
        <v>85</v>
      </c>
      <c r="D177" s="26" t="s">
        <v>24</v>
      </c>
      <c r="E177" s="26" t="s">
        <v>242</v>
      </c>
      <c r="F177" s="26" t="s">
        <v>244</v>
      </c>
      <c r="G177" s="147">
        <f>681.33-2819.6</f>
        <v>-2138.27</v>
      </c>
      <c r="H177" s="589">
        <v>2954.9</v>
      </c>
      <c r="I177" s="147"/>
      <c r="J177" s="627"/>
      <c r="K177" s="627"/>
      <c r="L177" s="627">
        <f>J177+K177</f>
        <v>0</v>
      </c>
      <c r="M177" s="42"/>
      <c r="N177" s="30">
        <f>L177+M177</f>
        <v>0</v>
      </c>
    </row>
    <row r="178" spans="1:16">
      <c r="A178" s="31" t="s">
        <v>243</v>
      </c>
      <c r="B178" s="26" t="s">
        <v>186</v>
      </c>
      <c r="C178" s="26" t="s">
        <v>85</v>
      </c>
      <c r="D178" s="26" t="s">
        <v>24</v>
      </c>
      <c r="E178" s="26" t="s">
        <v>245</v>
      </c>
      <c r="F178" s="26" t="s">
        <v>244</v>
      </c>
      <c r="G178" s="147">
        <v>2819.6</v>
      </c>
      <c r="H178" s="589"/>
      <c r="I178" s="147"/>
      <c r="J178" s="627">
        <v>0</v>
      </c>
      <c r="K178" s="627"/>
      <c r="L178" s="627">
        <f>J178+K178</f>
        <v>0</v>
      </c>
      <c r="M178" s="42"/>
      <c r="N178" s="30">
        <f>L178+M178</f>
        <v>0</v>
      </c>
      <c r="O178" s="11">
        <v>855</v>
      </c>
      <c r="P178" s="15">
        <f>K178</f>
        <v>0</v>
      </c>
    </row>
    <row r="179" spans="1:16">
      <c r="A179" s="24" t="s">
        <v>246</v>
      </c>
      <c r="B179" s="25" t="s">
        <v>186</v>
      </c>
      <c r="C179" s="25" t="s">
        <v>85</v>
      </c>
      <c r="D179" s="25" t="s">
        <v>26</v>
      </c>
      <c r="E179" s="25"/>
      <c r="F179" s="25"/>
      <c r="G179" s="206">
        <f t="shared" ref="G179:M179" si="50">G180+G189+G184+G182</f>
        <v>5261.5429699999995</v>
      </c>
      <c r="H179" s="206">
        <f t="shared" si="50"/>
        <v>8194.8000000000011</v>
      </c>
      <c r="I179" s="206">
        <f t="shared" si="50"/>
        <v>0</v>
      </c>
      <c r="J179" s="488">
        <f>J180+J189+J184+J182+J186</f>
        <v>16193.199999999999</v>
      </c>
      <c r="K179" s="488">
        <f>K180+K189+K184+K182+K186</f>
        <v>6006.5</v>
      </c>
      <c r="L179" s="488">
        <f>L180+L189+L184+L182+L186</f>
        <v>22199.699999999997</v>
      </c>
      <c r="M179" s="60">
        <f t="shared" si="50"/>
        <v>0</v>
      </c>
      <c r="N179" s="98">
        <f>N180+N189+N184+N182</f>
        <v>9621.2999999999993</v>
      </c>
    </row>
    <row r="180" spans="1:16" ht="60" hidden="1">
      <c r="A180" s="31" t="s">
        <v>247</v>
      </c>
      <c r="B180" s="26" t="s">
        <v>186</v>
      </c>
      <c r="C180" s="26" t="s">
        <v>85</v>
      </c>
      <c r="D180" s="26" t="s">
        <v>26</v>
      </c>
      <c r="E180" s="26" t="s">
        <v>248</v>
      </c>
      <c r="F180" s="26"/>
      <c r="G180" s="147">
        <f t="shared" ref="G180:N180" si="51">G181</f>
        <v>0</v>
      </c>
      <c r="H180" s="589">
        <f t="shared" si="51"/>
        <v>545.6</v>
      </c>
      <c r="I180" s="147">
        <f t="shared" si="51"/>
        <v>0</v>
      </c>
      <c r="J180" s="627">
        <f t="shared" si="51"/>
        <v>0</v>
      </c>
      <c r="K180" s="627">
        <f t="shared" si="51"/>
        <v>0</v>
      </c>
      <c r="L180" s="627">
        <f t="shared" si="51"/>
        <v>0</v>
      </c>
      <c r="M180" s="42">
        <f t="shared" si="51"/>
        <v>0</v>
      </c>
      <c r="N180" s="30">
        <f t="shared" si="51"/>
        <v>0</v>
      </c>
    </row>
    <row r="181" spans="1:16" hidden="1">
      <c r="A181" s="31" t="s">
        <v>243</v>
      </c>
      <c r="B181" s="26" t="s">
        <v>186</v>
      </c>
      <c r="C181" s="26" t="s">
        <v>85</v>
      </c>
      <c r="D181" s="26" t="s">
        <v>26</v>
      </c>
      <c r="E181" s="26" t="s">
        <v>248</v>
      </c>
      <c r="F181" s="26" t="s">
        <v>244</v>
      </c>
      <c r="G181" s="147"/>
      <c r="H181" s="589">
        <v>545.6</v>
      </c>
      <c r="I181" s="147"/>
      <c r="J181" s="627"/>
      <c r="K181" s="627"/>
      <c r="L181" s="627">
        <f>J181+K181</f>
        <v>0</v>
      </c>
      <c r="M181" s="42"/>
      <c r="N181" s="30">
        <f>L181+M181</f>
        <v>0</v>
      </c>
    </row>
    <row r="182" spans="1:16" ht="90" hidden="1" customHeight="1">
      <c r="A182" s="93" t="s">
        <v>249</v>
      </c>
      <c r="B182" s="26" t="s">
        <v>186</v>
      </c>
      <c r="C182" s="26" t="s">
        <v>85</v>
      </c>
      <c r="D182" s="26" t="s">
        <v>26</v>
      </c>
      <c r="E182" s="26" t="s">
        <v>250</v>
      </c>
      <c r="F182" s="26"/>
      <c r="G182" s="147">
        <f t="shared" ref="G182:N182" si="52">G183</f>
        <v>1114.61041</v>
      </c>
      <c r="H182" s="592">
        <f t="shared" si="52"/>
        <v>0</v>
      </c>
      <c r="I182" s="147">
        <f t="shared" si="52"/>
        <v>0</v>
      </c>
      <c r="J182" s="627">
        <f t="shared" si="52"/>
        <v>0</v>
      </c>
      <c r="K182" s="627">
        <f t="shared" si="52"/>
        <v>0</v>
      </c>
      <c r="L182" s="627">
        <f t="shared" si="52"/>
        <v>0</v>
      </c>
      <c r="M182" s="42">
        <f t="shared" si="52"/>
        <v>0</v>
      </c>
      <c r="N182" s="55">
        <f t="shared" si="52"/>
        <v>0</v>
      </c>
    </row>
    <row r="183" spans="1:16" ht="15" hidden="1" customHeight="1">
      <c r="A183" s="31" t="s">
        <v>243</v>
      </c>
      <c r="B183" s="26" t="s">
        <v>186</v>
      </c>
      <c r="C183" s="26" t="s">
        <v>85</v>
      </c>
      <c r="D183" s="26" t="s">
        <v>26</v>
      </c>
      <c r="E183" s="26" t="s">
        <v>250</v>
      </c>
      <c r="F183" s="26" t="s">
        <v>244</v>
      </c>
      <c r="G183" s="147">
        <f>335.61041+779</f>
        <v>1114.61041</v>
      </c>
      <c r="H183" s="589"/>
      <c r="I183" s="147"/>
      <c r="J183" s="627">
        <f>H183+I183</f>
        <v>0</v>
      </c>
      <c r="K183" s="627">
        <f>816.4-816.4</f>
        <v>0</v>
      </c>
      <c r="L183" s="627">
        <f>J183+K183</f>
        <v>0</v>
      </c>
      <c r="M183" s="42">
        <f>816.4-816.4</f>
        <v>0</v>
      </c>
      <c r="N183" s="30">
        <f>L183+M183</f>
        <v>0</v>
      </c>
    </row>
    <row r="184" spans="1:16" ht="45" hidden="1">
      <c r="A184" s="31" t="s">
        <v>251</v>
      </c>
      <c r="B184" s="26" t="s">
        <v>186</v>
      </c>
      <c r="C184" s="26" t="s">
        <v>85</v>
      </c>
      <c r="D184" s="26" t="s">
        <v>26</v>
      </c>
      <c r="E184" s="26" t="s">
        <v>252</v>
      </c>
      <c r="F184" s="26"/>
      <c r="G184" s="147">
        <f t="shared" ref="G184:N184" si="53">G185</f>
        <v>-779</v>
      </c>
      <c r="H184" s="147">
        <f t="shared" si="53"/>
        <v>816.4</v>
      </c>
      <c r="I184" s="147">
        <f t="shared" si="53"/>
        <v>0</v>
      </c>
      <c r="J184" s="627">
        <f t="shared" si="53"/>
        <v>0</v>
      </c>
      <c r="K184" s="627">
        <f t="shared" si="53"/>
        <v>0</v>
      </c>
      <c r="L184" s="627">
        <f t="shared" si="53"/>
        <v>0</v>
      </c>
      <c r="M184" s="42">
        <f t="shared" si="53"/>
        <v>0</v>
      </c>
      <c r="N184" s="43">
        <f t="shared" si="53"/>
        <v>0</v>
      </c>
    </row>
    <row r="185" spans="1:16" hidden="1">
      <c r="A185" s="31" t="s">
        <v>253</v>
      </c>
      <c r="B185" s="26" t="s">
        <v>186</v>
      </c>
      <c r="C185" s="26" t="s">
        <v>85</v>
      </c>
      <c r="D185" s="26" t="s">
        <v>26</v>
      </c>
      <c r="E185" s="26" t="s">
        <v>252</v>
      </c>
      <c r="F185" s="26" t="s">
        <v>254</v>
      </c>
      <c r="G185" s="147">
        <v>-779</v>
      </c>
      <c r="H185" s="589">
        <v>816.4</v>
      </c>
      <c r="I185" s="147"/>
      <c r="J185" s="627"/>
      <c r="K185" s="627"/>
      <c r="L185" s="627">
        <f>J185+K185</f>
        <v>0</v>
      </c>
      <c r="M185" s="42"/>
      <c r="N185" s="30">
        <f>L185+M185</f>
        <v>0</v>
      </c>
    </row>
    <row r="186" spans="1:16" ht="90">
      <c r="A186" s="31" t="s">
        <v>241</v>
      </c>
      <c r="B186" s="26" t="s">
        <v>186</v>
      </c>
      <c r="C186" s="26" t="s">
        <v>85</v>
      </c>
      <c r="D186" s="26" t="s">
        <v>26</v>
      </c>
      <c r="E186" s="26" t="s">
        <v>242</v>
      </c>
      <c r="F186" s="26"/>
      <c r="G186" s="147"/>
      <c r="H186" s="589"/>
      <c r="I186" s="147"/>
      <c r="J186" s="627">
        <f>J188+J187</f>
        <v>3419</v>
      </c>
      <c r="K186" s="627">
        <f t="shared" ref="K186:L186" si="54">K188+K187</f>
        <v>6006.5</v>
      </c>
      <c r="L186" s="627">
        <f t="shared" si="54"/>
        <v>9425.5</v>
      </c>
      <c r="M186" s="42"/>
      <c r="N186" s="30"/>
    </row>
    <row r="187" spans="1:16">
      <c r="A187" s="31" t="s">
        <v>243</v>
      </c>
      <c r="B187" s="26" t="s">
        <v>186</v>
      </c>
      <c r="C187" s="26" t="s">
        <v>85</v>
      </c>
      <c r="D187" s="26" t="s">
        <v>24</v>
      </c>
      <c r="E187" s="26" t="s">
        <v>242</v>
      </c>
      <c r="F187" s="26" t="s">
        <v>244</v>
      </c>
      <c r="G187" s="147"/>
      <c r="H187" s="589"/>
      <c r="I187" s="147"/>
      <c r="J187" s="627"/>
      <c r="K187" s="627">
        <v>6006.5</v>
      </c>
      <c r="L187" s="627">
        <f>J187+K187</f>
        <v>6006.5</v>
      </c>
      <c r="M187" s="42"/>
      <c r="N187" s="30"/>
    </row>
    <row r="188" spans="1:16">
      <c r="A188" s="31" t="s">
        <v>243</v>
      </c>
      <c r="B188" s="26" t="s">
        <v>186</v>
      </c>
      <c r="C188" s="26" t="s">
        <v>85</v>
      </c>
      <c r="D188" s="26" t="s">
        <v>26</v>
      </c>
      <c r="E188" s="26" t="s">
        <v>245</v>
      </c>
      <c r="F188" s="26" t="s">
        <v>244</v>
      </c>
      <c r="G188" s="147"/>
      <c r="H188" s="589"/>
      <c r="I188" s="147"/>
      <c r="J188" s="627">
        <v>3419</v>
      </c>
      <c r="K188" s="627"/>
      <c r="L188" s="627">
        <f>J188+K188</f>
        <v>3419</v>
      </c>
      <c r="M188" s="42"/>
      <c r="N188" s="30"/>
    </row>
    <row r="189" spans="1:16" ht="30">
      <c r="A189" s="31" t="s">
        <v>170</v>
      </c>
      <c r="B189" s="26" t="s">
        <v>186</v>
      </c>
      <c r="C189" s="26" t="s">
        <v>85</v>
      </c>
      <c r="D189" s="26" t="s">
        <v>26</v>
      </c>
      <c r="E189" s="26" t="s">
        <v>171</v>
      </c>
      <c r="F189" s="26"/>
      <c r="G189" s="592">
        <f t="shared" ref="G189:M189" si="55">G193+G190</f>
        <v>4925.9325599999993</v>
      </c>
      <c r="H189" s="592">
        <f t="shared" si="55"/>
        <v>6832.8</v>
      </c>
      <c r="I189" s="592">
        <f t="shared" si="55"/>
        <v>0</v>
      </c>
      <c r="J189" s="627">
        <f>J193+J190</f>
        <v>12774.199999999999</v>
      </c>
      <c r="K189" s="627">
        <f>K193+K190</f>
        <v>0</v>
      </c>
      <c r="L189" s="627">
        <f t="shared" si="55"/>
        <v>12774.199999999999</v>
      </c>
      <c r="M189" s="28">
        <f t="shared" si="55"/>
        <v>0</v>
      </c>
      <c r="N189" s="55">
        <f>N193+N190</f>
        <v>9621.2999999999993</v>
      </c>
    </row>
    <row r="190" spans="1:16" ht="90" customHeight="1">
      <c r="A190" s="31" t="s">
        <v>255</v>
      </c>
      <c r="B190" s="26" t="s">
        <v>186</v>
      </c>
      <c r="C190" s="26" t="s">
        <v>85</v>
      </c>
      <c r="D190" s="26" t="s">
        <v>26</v>
      </c>
      <c r="E190" s="26" t="s">
        <v>256</v>
      </c>
      <c r="F190" s="26"/>
      <c r="G190" s="147">
        <f t="shared" ref="G190:N190" si="56">G191</f>
        <v>1011.2162</v>
      </c>
      <c r="H190" s="592">
        <f t="shared" si="56"/>
        <v>0</v>
      </c>
      <c r="I190" s="147">
        <f t="shared" si="56"/>
        <v>0</v>
      </c>
      <c r="J190" s="627">
        <f>J191+J192</f>
        <v>1403.9</v>
      </c>
      <c r="K190" s="627">
        <f>K191+K192</f>
        <v>0</v>
      </c>
      <c r="L190" s="627">
        <f>L191+L192</f>
        <v>1403.9</v>
      </c>
      <c r="M190" s="42">
        <f t="shared" si="56"/>
        <v>0</v>
      </c>
      <c r="N190" s="55">
        <f t="shared" si="56"/>
        <v>1403.9</v>
      </c>
    </row>
    <row r="191" spans="1:16" ht="15" customHeight="1">
      <c r="A191" s="31" t="s">
        <v>243</v>
      </c>
      <c r="B191" s="26" t="s">
        <v>186</v>
      </c>
      <c r="C191" s="26" t="s">
        <v>85</v>
      </c>
      <c r="D191" s="26" t="s">
        <v>26</v>
      </c>
      <c r="E191" s="26" t="s">
        <v>256</v>
      </c>
      <c r="F191" s="26" t="s">
        <v>244</v>
      </c>
      <c r="G191" s="147">
        <f>11.2162+1000</f>
        <v>1011.2162</v>
      </c>
      <c r="H191" s="589"/>
      <c r="I191" s="147"/>
      <c r="J191" s="627">
        <v>1403.9</v>
      </c>
      <c r="K191" s="627"/>
      <c r="L191" s="627">
        <f>J191+K191</f>
        <v>1403.9</v>
      </c>
      <c r="M191" s="42"/>
      <c r="N191" s="30">
        <f>L191+M191</f>
        <v>1403.9</v>
      </c>
      <c r="O191" s="11">
        <v>1403.9</v>
      </c>
      <c r="P191" s="15">
        <f>K191</f>
        <v>0</v>
      </c>
    </row>
    <row r="192" spans="1:16" ht="15" hidden="1" customHeight="1">
      <c r="A192" s="31" t="s">
        <v>243</v>
      </c>
      <c r="B192" s="26" t="s">
        <v>186</v>
      </c>
      <c r="C192" s="26" t="s">
        <v>85</v>
      </c>
      <c r="D192" s="26" t="s">
        <v>26</v>
      </c>
      <c r="E192" s="26" t="s">
        <v>257</v>
      </c>
      <c r="F192" s="26" t="s">
        <v>244</v>
      </c>
      <c r="G192" s="147"/>
      <c r="H192" s="589"/>
      <c r="I192" s="147"/>
      <c r="J192" s="627"/>
      <c r="K192" s="627"/>
      <c r="L192" s="627">
        <f>J192+K192</f>
        <v>0</v>
      </c>
      <c r="M192" s="42"/>
      <c r="N192" s="30"/>
      <c r="P192" s="15"/>
    </row>
    <row r="193" spans="1:16" ht="45">
      <c r="A193" s="31" t="s">
        <v>258</v>
      </c>
      <c r="B193" s="26" t="s">
        <v>186</v>
      </c>
      <c r="C193" s="26" t="s">
        <v>85</v>
      </c>
      <c r="D193" s="26" t="s">
        <v>26</v>
      </c>
      <c r="E193" s="26" t="s">
        <v>259</v>
      </c>
      <c r="F193" s="26"/>
      <c r="G193" s="592">
        <f t="shared" ref="G193:M193" si="57">G198+G196+G197</f>
        <v>3914.7163599999994</v>
      </c>
      <c r="H193" s="592">
        <f t="shared" si="57"/>
        <v>6832.8</v>
      </c>
      <c r="I193" s="592">
        <f t="shared" si="57"/>
        <v>0</v>
      </c>
      <c r="J193" s="627">
        <f>J198+J196+J197+J194+J195</f>
        <v>11370.3</v>
      </c>
      <c r="K193" s="627">
        <f>K198+K196+K197+K194+K195</f>
        <v>0</v>
      </c>
      <c r="L193" s="627">
        <f>L198+L196+L197+L194+L195</f>
        <v>11370.3</v>
      </c>
      <c r="M193" s="28">
        <f t="shared" si="57"/>
        <v>0</v>
      </c>
      <c r="N193" s="55">
        <f>N198+N196+N197</f>
        <v>8217.4</v>
      </c>
    </row>
    <row r="194" spans="1:16" ht="45">
      <c r="A194" s="31" t="s">
        <v>260</v>
      </c>
      <c r="B194" s="26" t="s">
        <v>186</v>
      </c>
      <c r="C194" s="26" t="s">
        <v>85</v>
      </c>
      <c r="D194" s="26" t="s">
        <v>26</v>
      </c>
      <c r="E194" s="26" t="s">
        <v>259</v>
      </c>
      <c r="F194" s="26" t="s">
        <v>142</v>
      </c>
      <c r="G194" s="592"/>
      <c r="H194" s="592"/>
      <c r="I194" s="592"/>
      <c r="J194" s="627">
        <v>800</v>
      </c>
      <c r="K194" s="627"/>
      <c r="L194" s="627">
        <f>J194+K194</f>
        <v>800</v>
      </c>
      <c r="M194" s="28"/>
      <c r="N194" s="55"/>
    </row>
    <row r="195" spans="1:16" ht="45">
      <c r="A195" s="102" t="s">
        <v>260</v>
      </c>
      <c r="B195" s="26" t="s">
        <v>186</v>
      </c>
      <c r="C195" s="26" t="s">
        <v>85</v>
      </c>
      <c r="D195" s="26" t="s">
        <v>26</v>
      </c>
      <c r="E195" s="26" t="s">
        <v>259</v>
      </c>
      <c r="F195" s="26" t="s">
        <v>244</v>
      </c>
      <c r="G195" s="592"/>
      <c r="H195" s="592"/>
      <c r="I195" s="592"/>
      <c r="J195" s="627">
        <v>2352.9</v>
      </c>
      <c r="K195" s="627"/>
      <c r="L195" s="627">
        <f>J195+K195</f>
        <v>2352.9</v>
      </c>
      <c r="M195" s="28"/>
      <c r="N195" s="55"/>
    </row>
    <row r="196" spans="1:16" ht="45" customHeight="1">
      <c r="A196" s="31" t="s">
        <v>260</v>
      </c>
      <c r="B196" s="26" t="s">
        <v>186</v>
      </c>
      <c r="C196" s="26" t="s">
        <v>85</v>
      </c>
      <c r="D196" s="26" t="s">
        <v>26</v>
      </c>
      <c r="E196" s="26" t="s">
        <v>261</v>
      </c>
      <c r="F196" s="26" t="s">
        <v>142</v>
      </c>
      <c r="G196" s="147">
        <v>-94.76</v>
      </c>
      <c r="H196" s="589"/>
      <c r="I196" s="147"/>
      <c r="J196" s="627">
        <f>1483.4</f>
        <v>1483.4</v>
      </c>
      <c r="K196" s="627"/>
      <c r="L196" s="627">
        <f>J196+K196</f>
        <v>1483.4</v>
      </c>
      <c r="M196" s="42"/>
      <c r="N196" s="30">
        <f>L196+M196</f>
        <v>1483.4</v>
      </c>
    </row>
    <row r="197" spans="1:16" ht="45.75" thickBot="1">
      <c r="A197" s="102" t="s">
        <v>260</v>
      </c>
      <c r="B197" s="26" t="s">
        <v>186</v>
      </c>
      <c r="C197" s="26" t="s">
        <v>85</v>
      </c>
      <c r="D197" s="26" t="s">
        <v>26</v>
      </c>
      <c r="E197" s="26" t="s">
        <v>261</v>
      </c>
      <c r="F197" s="26" t="s">
        <v>244</v>
      </c>
      <c r="G197" s="147">
        <f>94.76+6519.9</f>
        <v>6614.66</v>
      </c>
      <c r="H197" s="589"/>
      <c r="I197" s="147"/>
      <c r="J197" s="627">
        <v>6734</v>
      </c>
      <c r="K197" s="627"/>
      <c r="L197" s="627">
        <f>J197+K197</f>
        <v>6734</v>
      </c>
      <c r="M197" s="42"/>
      <c r="N197" s="30">
        <f>L197+M197</f>
        <v>6734</v>
      </c>
      <c r="O197" s="15">
        <v>9499.7000000000007</v>
      </c>
      <c r="P197" s="15">
        <f>K197</f>
        <v>0</v>
      </c>
    </row>
    <row r="198" spans="1:16" ht="30.75" hidden="1" thickBot="1">
      <c r="A198" s="31" t="s">
        <v>262</v>
      </c>
      <c r="B198" s="26" t="s">
        <v>186</v>
      </c>
      <c r="C198" s="26" t="s">
        <v>85</v>
      </c>
      <c r="D198" s="26" t="s">
        <v>26</v>
      </c>
      <c r="E198" s="26" t="s">
        <v>263</v>
      </c>
      <c r="F198" s="26"/>
      <c r="G198" s="592">
        <f t="shared" ref="G198:M198" si="58">G199+G201+G202</f>
        <v>-2605.1836400000002</v>
      </c>
      <c r="H198" s="592">
        <f t="shared" si="58"/>
        <v>6832.8</v>
      </c>
      <c r="I198" s="592">
        <f t="shared" si="58"/>
        <v>0</v>
      </c>
      <c r="J198" s="627">
        <f t="shared" si="58"/>
        <v>0</v>
      </c>
      <c r="K198" s="627">
        <f t="shared" si="58"/>
        <v>0</v>
      </c>
      <c r="L198" s="627">
        <f t="shared" si="58"/>
        <v>0</v>
      </c>
      <c r="M198" s="28">
        <f t="shared" si="58"/>
        <v>0</v>
      </c>
      <c r="N198" s="55">
        <f>N199+N201+N202</f>
        <v>0</v>
      </c>
    </row>
    <row r="199" spans="1:16" ht="30.75" hidden="1" thickBot="1">
      <c r="A199" s="31" t="s">
        <v>264</v>
      </c>
      <c r="B199" s="26" t="s">
        <v>186</v>
      </c>
      <c r="C199" s="26" t="s">
        <v>85</v>
      </c>
      <c r="D199" s="26" t="s">
        <v>26</v>
      </c>
      <c r="E199" s="26" t="s">
        <v>265</v>
      </c>
      <c r="F199" s="26"/>
      <c r="G199" s="592">
        <f t="shared" ref="G199:N199" si="59">G200</f>
        <v>-6396.88364</v>
      </c>
      <c r="H199" s="592">
        <f t="shared" si="59"/>
        <v>6643.5</v>
      </c>
      <c r="I199" s="592">
        <f t="shared" si="59"/>
        <v>0</v>
      </c>
      <c r="J199" s="627">
        <f t="shared" si="59"/>
        <v>0</v>
      </c>
      <c r="K199" s="627">
        <f t="shared" si="59"/>
        <v>0</v>
      </c>
      <c r="L199" s="627">
        <f t="shared" si="59"/>
        <v>0</v>
      </c>
      <c r="M199" s="28">
        <f t="shared" si="59"/>
        <v>0</v>
      </c>
      <c r="N199" s="55">
        <f t="shared" si="59"/>
        <v>0</v>
      </c>
    </row>
    <row r="200" spans="1:16" ht="15.75" hidden="1" thickBot="1">
      <c r="A200" s="31" t="s">
        <v>243</v>
      </c>
      <c r="B200" s="26" t="s">
        <v>186</v>
      </c>
      <c r="C200" s="26" t="s">
        <v>85</v>
      </c>
      <c r="D200" s="26" t="s">
        <v>26</v>
      </c>
      <c r="E200" s="26" t="s">
        <v>265</v>
      </c>
      <c r="F200" s="26" t="s">
        <v>244</v>
      </c>
      <c r="G200" s="592">
        <f>9.41636-6406.3</f>
        <v>-6396.88364</v>
      </c>
      <c r="H200" s="589">
        <v>6643.5</v>
      </c>
      <c r="I200" s="592"/>
      <c r="J200" s="627"/>
      <c r="K200" s="627"/>
      <c r="L200" s="627">
        <f>J200+K200</f>
        <v>0</v>
      </c>
      <c r="M200" s="28"/>
      <c r="N200" s="30">
        <f>L200+M200</f>
        <v>0</v>
      </c>
    </row>
    <row r="201" spans="1:16" ht="15.75" hidden="1" thickBot="1">
      <c r="A201" s="31" t="s">
        <v>266</v>
      </c>
      <c r="B201" s="26" t="s">
        <v>186</v>
      </c>
      <c r="C201" s="26" t="s">
        <v>85</v>
      </c>
      <c r="D201" s="26" t="s">
        <v>26</v>
      </c>
      <c r="E201" s="26" t="s">
        <v>267</v>
      </c>
      <c r="F201" s="26" t="s">
        <v>142</v>
      </c>
      <c r="G201" s="147">
        <v>-113.6</v>
      </c>
      <c r="H201" s="589">
        <v>189.3</v>
      </c>
      <c r="I201" s="147"/>
      <c r="J201" s="627"/>
      <c r="K201" s="627"/>
      <c r="L201" s="627">
        <f>J201+K201</f>
        <v>0</v>
      </c>
      <c r="M201" s="42"/>
      <c r="N201" s="30">
        <f>L201+M201</f>
        <v>0</v>
      </c>
    </row>
    <row r="202" spans="1:16" ht="15.75" hidden="1" customHeight="1" thickBot="1">
      <c r="A202" s="31" t="s">
        <v>243</v>
      </c>
      <c r="B202" s="26" t="s">
        <v>186</v>
      </c>
      <c r="C202" s="26" t="s">
        <v>85</v>
      </c>
      <c r="D202" s="26" t="s">
        <v>26</v>
      </c>
      <c r="E202" s="26" t="s">
        <v>268</v>
      </c>
      <c r="F202" s="26" t="s">
        <v>244</v>
      </c>
      <c r="G202" s="147">
        <v>3905.3</v>
      </c>
      <c r="H202" s="589"/>
      <c r="I202" s="147"/>
      <c r="J202" s="627">
        <f>H202+I202</f>
        <v>0</v>
      </c>
      <c r="K202" s="627"/>
      <c r="L202" s="627">
        <f>J202+K202</f>
        <v>0</v>
      </c>
      <c r="M202" s="83"/>
      <c r="N202" s="103">
        <f>L202+M202</f>
        <v>0</v>
      </c>
    </row>
    <row r="203" spans="1:16" ht="30" thickBot="1">
      <c r="A203" s="594" t="s">
        <v>269</v>
      </c>
      <c r="B203" s="209" t="s">
        <v>270</v>
      </c>
      <c r="C203" s="209"/>
      <c r="D203" s="209"/>
      <c r="E203" s="209"/>
      <c r="F203" s="209"/>
      <c r="G203" s="210" t="e">
        <f>G204+G242+G267+G286</f>
        <v>#REF!</v>
      </c>
      <c r="H203" s="598" t="e">
        <f>H204+H242+H267+H286+H256</f>
        <v>#REF!</v>
      </c>
      <c r="I203" s="598" t="e">
        <f>I204+I242+I267+I286+I256</f>
        <v>#REF!</v>
      </c>
      <c r="J203" s="625">
        <f>J204+J242+J267+J286+J256+J236+J303+J308+J230+J282+J274</f>
        <v>69034.373530000012</v>
      </c>
      <c r="K203" s="625">
        <f>K204+K242+K267+K286+K256+K236+K303+K308+K230+K282+K274</f>
        <v>2706.7035499999997</v>
      </c>
      <c r="L203" s="625">
        <f>L204+L242+L267+L286+L256+L236+L303+L308+L230+L282+L274</f>
        <v>71741.077080000003</v>
      </c>
      <c r="M203" s="104" t="e">
        <f>M204+M242+M267+M286+M256+M236</f>
        <v>#REF!</v>
      </c>
      <c r="N203" s="105" t="e">
        <f>N204+N242+N267+N286+N256+N236</f>
        <v>#REF!</v>
      </c>
      <c r="O203" s="20">
        <f>L203-L207-L233-L285-L312-L324-L314</f>
        <v>13308.288079999998</v>
      </c>
    </row>
    <row r="204" spans="1:16">
      <c r="A204" s="33" t="s">
        <v>271</v>
      </c>
      <c r="B204" s="34" t="s">
        <v>270</v>
      </c>
      <c r="C204" s="34" t="s">
        <v>21</v>
      </c>
      <c r="D204" s="26"/>
      <c r="E204" s="26"/>
      <c r="F204" s="26"/>
      <c r="G204" s="585">
        <f t="shared" ref="G204:M204" si="60">G214+G218+G226+G230+G205</f>
        <v>-820.87</v>
      </c>
      <c r="H204" s="585">
        <f t="shared" si="60"/>
        <v>4592.6000000000004</v>
      </c>
      <c r="I204" s="585">
        <f t="shared" si="60"/>
        <v>0</v>
      </c>
      <c r="J204" s="379">
        <f>J214+J218+J226+J205+J222</f>
        <v>4011.0320000000002</v>
      </c>
      <c r="K204" s="379">
        <f>K214+K218+K226+K205+K222</f>
        <v>44.74</v>
      </c>
      <c r="L204" s="379">
        <f>L214+L218+L226+L205+L222</f>
        <v>4055.7719999999999</v>
      </c>
      <c r="M204" s="106">
        <f t="shared" si="60"/>
        <v>-578.49599999999998</v>
      </c>
      <c r="N204" s="107">
        <f>N214+N218+N226+N230+N205</f>
        <v>4018.7759999999998</v>
      </c>
      <c r="O204" s="108">
        <f>L233+L259+L261+L264+L273+L277+L289+L312+L314+L319+L322+L324+L245</f>
        <v>37472.526720000002</v>
      </c>
    </row>
    <row r="205" spans="1:16" ht="86.25">
      <c r="A205" s="109" t="s">
        <v>272</v>
      </c>
      <c r="B205" s="25" t="s">
        <v>270</v>
      </c>
      <c r="C205" s="25" t="s">
        <v>21</v>
      </c>
      <c r="D205" s="25" t="s">
        <v>26</v>
      </c>
      <c r="E205" s="26"/>
      <c r="F205" s="26"/>
      <c r="G205" s="565">
        <f t="shared" ref="G205:N206" si="61">G206</f>
        <v>0.4</v>
      </c>
      <c r="H205" s="207">
        <f>H206+H210</f>
        <v>0</v>
      </c>
      <c r="I205" s="207">
        <f>I206+I210</f>
        <v>0</v>
      </c>
      <c r="J205" s="488">
        <f>J206+J210+J208+J212</f>
        <v>733.726</v>
      </c>
      <c r="K205" s="488">
        <f>K206+K210+K208+K212</f>
        <v>0</v>
      </c>
      <c r="L205" s="488">
        <f>L206+L210+L208+L212</f>
        <v>733.726</v>
      </c>
      <c r="M205" s="37">
        <f>M206+M210+M208+M212</f>
        <v>-50</v>
      </c>
      <c r="N205" s="38">
        <f>N206+N210+N208+N212</f>
        <v>683.726</v>
      </c>
    </row>
    <row r="206" spans="1:16" ht="62.25" customHeight="1">
      <c r="A206" s="31" t="s">
        <v>273</v>
      </c>
      <c r="B206" s="26" t="s">
        <v>270</v>
      </c>
      <c r="C206" s="26" t="s">
        <v>21</v>
      </c>
      <c r="D206" s="26" t="s">
        <v>26</v>
      </c>
      <c r="E206" s="26" t="s">
        <v>274</v>
      </c>
      <c r="F206" s="26"/>
      <c r="G206" s="585">
        <f t="shared" si="61"/>
        <v>0.4</v>
      </c>
      <c r="H206" s="585">
        <f t="shared" si="61"/>
        <v>0</v>
      </c>
      <c r="I206" s="585">
        <f t="shared" si="61"/>
        <v>0</v>
      </c>
      <c r="J206" s="627">
        <f t="shared" si="61"/>
        <v>0.5</v>
      </c>
      <c r="K206" s="627">
        <f t="shared" si="61"/>
        <v>0</v>
      </c>
      <c r="L206" s="627">
        <f t="shared" si="61"/>
        <v>0.5</v>
      </c>
      <c r="M206" s="40">
        <f t="shared" si="61"/>
        <v>0</v>
      </c>
      <c r="N206" s="41">
        <f t="shared" si="61"/>
        <v>0.5</v>
      </c>
    </row>
    <row r="207" spans="1:16" ht="30">
      <c r="A207" s="110" t="s">
        <v>141</v>
      </c>
      <c r="B207" s="26" t="s">
        <v>270</v>
      </c>
      <c r="C207" s="26" t="s">
        <v>21</v>
      </c>
      <c r="D207" s="26" t="s">
        <v>26</v>
      </c>
      <c r="E207" s="26" t="s">
        <v>274</v>
      </c>
      <c r="F207" s="26" t="s">
        <v>142</v>
      </c>
      <c r="G207" s="585">
        <v>0.4</v>
      </c>
      <c r="H207" s="589"/>
      <c r="I207" s="585"/>
      <c r="J207" s="627">
        <v>0.5</v>
      </c>
      <c r="K207" s="379"/>
      <c r="L207" s="627">
        <f>J207+K207</f>
        <v>0.5</v>
      </c>
      <c r="M207" s="40"/>
      <c r="N207" s="30">
        <f>L207+M207</f>
        <v>0.5</v>
      </c>
      <c r="O207" s="11">
        <v>0.5</v>
      </c>
    </row>
    <row r="208" spans="1:16">
      <c r="A208" s="110" t="s">
        <v>192</v>
      </c>
      <c r="B208" s="26" t="s">
        <v>270</v>
      </c>
      <c r="C208" s="26" t="s">
        <v>21</v>
      </c>
      <c r="D208" s="26" t="s">
        <v>26</v>
      </c>
      <c r="E208" s="26" t="s">
        <v>193</v>
      </c>
      <c r="F208" s="26"/>
      <c r="G208" s="585"/>
      <c r="H208" s="589"/>
      <c r="I208" s="585"/>
      <c r="J208" s="627">
        <f>J209</f>
        <v>733.226</v>
      </c>
      <c r="K208" s="627">
        <f>K209</f>
        <v>0</v>
      </c>
      <c r="L208" s="627">
        <f>L209</f>
        <v>733.226</v>
      </c>
      <c r="M208" s="29">
        <f>M209</f>
        <v>-50</v>
      </c>
      <c r="N208" s="30">
        <f>N209</f>
        <v>683.226</v>
      </c>
    </row>
    <row r="209" spans="1:20" ht="30">
      <c r="A209" s="110" t="s">
        <v>135</v>
      </c>
      <c r="B209" s="26" t="s">
        <v>270</v>
      </c>
      <c r="C209" s="26" t="s">
        <v>21</v>
      </c>
      <c r="D209" s="26" t="s">
        <v>26</v>
      </c>
      <c r="E209" s="26" t="s">
        <v>193</v>
      </c>
      <c r="F209" s="26" t="s">
        <v>133</v>
      </c>
      <c r="G209" s="585"/>
      <c r="H209" s="589"/>
      <c r="I209" s="585"/>
      <c r="J209" s="627">
        <v>733.226</v>
      </c>
      <c r="K209" s="379"/>
      <c r="L209" s="627">
        <f>J209+K209</f>
        <v>733.226</v>
      </c>
      <c r="M209" s="40">
        <f>-50</f>
        <v>-50</v>
      </c>
      <c r="N209" s="30">
        <f>L209+M209</f>
        <v>683.226</v>
      </c>
      <c r="O209" s="44">
        <v>733.226</v>
      </c>
      <c r="P209" s="45">
        <f>L209-O209</f>
        <v>0</v>
      </c>
    </row>
    <row r="210" spans="1:20" ht="45" hidden="1" customHeight="1">
      <c r="A210" s="110" t="s">
        <v>275</v>
      </c>
      <c r="B210" s="34" t="s">
        <v>270</v>
      </c>
      <c r="C210" s="34" t="s">
        <v>21</v>
      </c>
      <c r="D210" s="26" t="s">
        <v>26</v>
      </c>
      <c r="E210" s="26" t="s">
        <v>276</v>
      </c>
      <c r="F210" s="26"/>
      <c r="G210" s="585"/>
      <c r="H210" s="589">
        <f t="shared" ref="H210:N210" si="62">H211</f>
        <v>0</v>
      </c>
      <c r="I210" s="589">
        <f t="shared" si="62"/>
        <v>0</v>
      </c>
      <c r="J210" s="627">
        <f t="shared" si="62"/>
        <v>0</v>
      </c>
      <c r="K210" s="627">
        <f t="shared" si="62"/>
        <v>0</v>
      </c>
      <c r="L210" s="627">
        <f t="shared" si="62"/>
        <v>0</v>
      </c>
      <c r="M210" s="29">
        <f t="shared" si="62"/>
        <v>0</v>
      </c>
      <c r="N210" s="30">
        <f t="shared" si="62"/>
        <v>0</v>
      </c>
    </row>
    <row r="211" spans="1:20" ht="30" hidden="1" customHeight="1">
      <c r="A211" s="111" t="s">
        <v>277</v>
      </c>
      <c r="B211" s="34" t="s">
        <v>270</v>
      </c>
      <c r="C211" s="34" t="s">
        <v>21</v>
      </c>
      <c r="D211" s="26" t="s">
        <v>26</v>
      </c>
      <c r="E211" s="26" t="s">
        <v>276</v>
      </c>
      <c r="F211" s="26" t="s">
        <v>133</v>
      </c>
      <c r="G211" s="585"/>
      <c r="H211" s="589"/>
      <c r="I211" s="585"/>
      <c r="J211" s="627">
        <f>H211+I211</f>
        <v>0</v>
      </c>
      <c r="K211" s="379"/>
      <c r="L211" s="627">
        <f>J211+K211</f>
        <v>0</v>
      </c>
      <c r="M211" s="40"/>
      <c r="N211" s="30">
        <f>L211+M211</f>
        <v>0</v>
      </c>
    </row>
    <row r="212" spans="1:20" ht="60" hidden="1">
      <c r="A212" s="110" t="s">
        <v>278</v>
      </c>
      <c r="B212" s="34" t="s">
        <v>270</v>
      </c>
      <c r="C212" s="34" t="s">
        <v>21</v>
      </c>
      <c r="D212" s="26" t="s">
        <v>26</v>
      </c>
      <c r="E212" s="26" t="s">
        <v>279</v>
      </c>
      <c r="F212" s="26"/>
      <c r="G212" s="585"/>
      <c r="H212" s="589"/>
      <c r="I212" s="585"/>
      <c r="J212" s="627">
        <f>J213</f>
        <v>0</v>
      </c>
      <c r="K212" s="627">
        <f>K213</f>
        <v>0</v>
      </c>
      <c r="L212" s="627">
        <f>L213</f>
        <v>0</v>
      </c>
      <c r="M212" s="29">
        <f>M213</f>
        <v>0</v>
      </c>
      <c r="N212" s="30">
        <f>N213</f>
        <v>0</v>
      </c>
    </row>
    <row r="213" spans="1:20" ht="30" hidden="1">
      <c r="A213" s="111" t="s">
        <v>277</v>
      </c>
      <c r="B213" s="34" t="s">
        <v>270</v>
      </c>
      <c r="C213" s="34" t="s">
        <v>21</v>
      </c>
      <c r="D213" s="26" t="s">
        <v>26</v>
      </c>
      <c r="E213" s="26" t="s">
        <v>279</v>
      </c>
      <c r="F213" s="26" t="s">
        <v>133</v>
      </c>
      <c r="G213" s="585"/>
      <c r="H213" s="589"/>
      <c r="I213" s="585"/>
      <c r="J213" s="627"/>
      <c r="K213" s="379"/>
      <c r="L213" s="627">
        <f>J213+K213</f>
        <v>0</v>
      </c>
      <c r="M213" s="40"/>
      <c r="N213" s="30">
        <f>L213+M213</f>
        <v>0</v>
      </c>
    </row>
    <row r="214" spans="1:20" s="113" customFormat="1" ht="57">
      <c r="A214" s="112" t="s">
        <v>280</v>
      </c>
      <c r="B214" s="25" t="s">
        <v>270</v>
      </c>
      <c r="C214" s="25" t="s">
        <v>21</v>
      </c>
      <c r="D214" s="25" t="s">
        <v>30</v>
      </c>
      <c r="E214" s="25"/>
      <c r="F214" s="25"/>
      <c r="G214" s="565">
        <f t="shared" ref="G214:N214" si="63">G215</f>
        <v>412.31000000000006</v>
      </c>
      <c r="H214" s="565">
        <f t="shared" si="63"/>
        <v>2981.6</v>
      </c>
      <c r="I214" s="565">
        <f t="shared" si="63"/>
        <v>0</v>
      </c>
      <c r="J214" s="488">
        <f t="shared" si="63"/>
        <v>3277.306</v>
      </c>
      <c r="K214" s="488">
        <f t="shared" si="63"/>
        <v>44.74</v>
      </c>
      <c r="L214" s="488">
        <f t="shared" si="63"/>
        <v>3322.0459999999998</v>
      </c>
      <c r="M214" s="95">
        <f t="shared" si="63"/>
        <v>-205.49600000000001</v>
      </c>
      <c r="N214" s="96">
        <f t="shared" si="63"/>
        <v>3116.5499999999997</v>
      </c>
    </row>
    <row r="215" spans="1:20" ht="75">
      <c r="A215" s="111" t="s">
        <v>281</v>
      </c>
      <c r="B215" s="26" t="s">
        <v>270</v>
      </c>
      <c r="C215" s="26" t="s">
        <v>21</v>
      </c>
      <c r="D215" s="26" t="s">
        <v>30</v>
      </c>
      <c r="E215" s="26" t="s">
        <v>191</v>
      </c>
      <c r="F215" s="26"/>
      <c r="G215" s="147">
        <f t="shared" ref="G215:M215" si="64">G216+G217</f>
        <v>412.31000000000006</v>
      </c>
      <c r="H215" s="147">
        <f t="shared" si="64"/>
        <v>2981.6</v>
      </c>
      <c r="I215" s="147">
        <f t="shared" si="64"/>
        <v>0</v>
      </c>
      <c r="J215" s="627">
        <f t="shared" si="64"/>
        <v>3277.306</v>
      </c>
      <c r="K215" s="627">
        <f t="shared" si="64"/>
        <v>44.74</v>
      </c>
      <c r="L215" s="627">
        <f t="shared" si="64"/>
        <v>3322.0459999999998</v>
      </c>
      <c r="M215" s="42">
        <f t="shared" si="64"/>
        <v>-205.49600000000001</v>
      </c>
      <c r="N215" s="43">
        <f>N216+N217</f>
        <v>3116.5499999999997</v>
      </c>
    </row>
    <row r="216" spans="1:20" ht="30" hidden="1">
      <c r="A216" s="111" t="s">
        <v>282</v>
      </c>
      <c r="B216" s="26" t="s">
        <v>270</v>
      </c>
      <c r="C216" s="26" t="s">
        <v>21</v>
      </c>
      <c r="D216" s="26" t="s">
        <v>30</v>
      </c>
      <c r="E216" s="26" t="s">
        <v>193</v>
      </c>
      <c r="F216" s="26" t="s">
        <v>234</v>
      </c>
      <c r="G216" s="147">
        <v>-0.4</v>
      </c>
      <c r="H216" s="589">
        <v>2981.6</v>
      </c>
      <c r="I216" s="147"/>
      <c r="J216" s="627"/>
      <c r="K216" s="627"/>
      <c r="L216" s="627">
        <f>J216+K216</f>
        <v>0</v>
      </c>
      <c r="M216" s="42"/>
      <c r="N216" s="30">
        <f>L216+M216</f>
        <v>0</v>
      </c>
    </row>
    <row r="217" spans="1:20" s="387" customFormat="1" ht="30">
      <c r="A217" s="383" t="s">
        <v>135</v>
      </c>
      <c r="B217" s="384" t="s">
        <v>270</v>
      </c>
      <c r="C217" s="384" t="s">
        <v>21</v>
      </c>
      <c r="D217" s="384" t="s">
        <v>30</v>
      </c>
      <c r="E217" s="384" t="s">
        <v>193</v>
      </c>
      <c r="F217" s="384" t="s">
        <v>133</v>
      </c>
      <c r="G217" s="599">
        <f>50+360+80+3.47-0.01-80-3.47+2.72</f>
        <v>412.71000000000004</v>
      </c>
      <c r="H217" s="600"/>
      <c r="I217" s="599"/>
      <c r="J217" s="630">
        <v>3277.306</v>
      </c>
      <c r="K217" s="630">
        <f>2.34+0.8+41.6</f>
        <v>44.74</v>
      </c>
      <c r="L217" s="630">
        <f>J217+K217</f>
        <v>3322.0459999999998</v>
      </c>
      <c r="M217" s="385">
        <f>-205.496</f>
        <v>-205.49600000000001</v>
      </c>
      <c r="N217" s="386">
        <f>L217+M217</f>
        <v>3116.5499999999997</v>
      </c>
      <c r="O217" s="387">
        <v>3092.22</v>
      </c>
      <c r="P217" s="140">
        <f>L217-O217</f>
        <v>229.82600000000002</v>
      </c>
      <c r="R217" s="388" t="s">
        <v>1077</v>
      </c>
      <c r="S217" s="388"/>
      <c r="T217" s="388"/>
    </row>
    <row r="218" spans="1:20" s="113" customFormat="1" ht="28.5" hidden="1">
      <c r="A218" s="112" t="s">
        <v>33</v>
      </c>
      <c r="B218" s="25" t="s">
        <v>270</v>
      </c>
      <c r="C218" s="25" t="s">
        <v>21</v>
      </c>
      <c r="D218" s="25" t="s">
        <v>34</v>
      </c>
      <c r="E218" s="25"/>
      <c r="F218" s="25"/>
      <c r="G218" s="565">
        <f t="shared" ref="G218:N220" si="65">G219</f>
        <v>0</v>
      </c>
      <c r="H218" s="565">
        <f t="shared" si="65"/>
        <v>63</v>
      </c>
      <c r="I218" s="565">
        <f t="shared" si="65"/>
        <v>0</v>
      </c>
      <c r="J218" s="488">
        <f t="shared" si="65"/>
        <v>0</v>
      </c>
      <c r="K218" s="488">
        <f t="shared" si="65"/>
        <v>0</v>
      </c>
      <c r="L218" s="488">
        <f t="shared" si="65"/>
        <v>0</v>
      </c>
      <c r="M218" s="95">
        <f t="shared" si="65"/>
        <v>0</v>
      </c>
      <c r="N218" s="96">
        <f t="shared" si="65"/>
        <v>0</v>
      </c>
    </row>
    <row r="219" spans="1:20" ht="30" hidden="1">
      <c r="A219" s="111" t="s">
        <v>283</v>
      </c>
      <c r="B219" s="26" t="s">
        <v>270</v>
      </c>
      <c r="C219" s="26" t="s">
        <v>21</v>
      </c>
      <c r="D219" s="26" t="s">
        <v>34</v>
      </c>
      <c r="E219" s="26" t="s">
        <v>284</v>
      </c>
      <c r="F219" s="26"/>
      <c r="G219" s="147">
        <f t="shared" si="65"/>
        <v>0</v>
      </c>
      <c r="H219" s="147">
        <f t="shared" si="65"/>
        <v>63</v>
      </c>
      <c r="I219" s="147">
        <f t="shared" si="65"/>
        <v>0</v>
      </c>
      <c r="J219" s="627">
        <f t="shared" si="65"/>
        <v>0</v>
      </c>
      <c r="K219" s="627">
        <f t="shared" si="65"/>
        <v>0</v>
      </c>
      <c r="L219" s="627">
        <f t="shared" si="65"/>
        <v>0</v>
      </c>
      <c r="M219" s="42">
        <f t="shared" si="65"/>
        <v>0</v>
      </c>
      <c r="N219" s="43">
        <f t="shared" si="65"/>
        <v>0</v>
      </c>
    </row>
    <row r="220" spans="1:20" ht="30" hidden="1">
      <c r="A220" s="111" t="s">
        <v>285</v>
      </c>
      <c r="B220" s="26" t="s">
        <v>270</v>
      </c>
      <c r="C220" s="26" t="s">
        <v>21</v>
      </c>
      <c r="D220" s="26" t="s">
        <v>34</v>
      </c>
      <c r="E220" s="26" t="s">
        <v>286</v>
      </c>
      <c r="F220" s="26"/>
      <c r="G220" s="147">
        <f t="shared" si="65"/>
        <v>0</v>
      </c>
      <c r="H220" s="147">
        <f t="shared" si="65"/>
        <v>63</v>
      </c>
      <c r="I220" s="147">
        <f t="shared" si="65"/>
        <v>0</v>
      </c>
      <c r="J220" s="627">
        <f t="shared" si="65"/>
        <v>0</v>
      </c>
      <c r="K220" s="627">
        <f t="shared" si="65"/>
        <v>0</v>
      </c>
      <c r="L220" s="627">
        <f t="shared" si="65"/>
        <v>0</v>
      </c>
      <c r="M220" s="42">
        <f t="shared" si="65"/>
        <v>0</v>
      </c>
      <c r="N220" s="43">
        <f t="shared" si="65"/>
        <v>0</v>
      </c>
    </row>
    <row r="221" spans="1:20" hidden="1">
      <c r="A221" s="111" t="s">
        <v>287</v>
      </c>
      <c r="B221" s="26" t="s">
        <v>270</v>
      </c>
      <c r="C221" s="26" t="s">
        <v>21</v>
      </c>
      <c r="D221" s="26" t="s">
        <v>34</v>
      </c>
      <c r="E221" s="26" t="s">
        <v>286</v>
      </c>
      <c r="F221" s="26" t="s">
        <v>288</v>
      </c>
      <c r="G221" s="147"/>
      <c r="H221" s="589">
        <v>63</v>
      </c>
      <c r="I221" s="147"/>
      <c r="J221" s="627"/>
      <c r="K221" s="627"/>
      <c r="L221" s="627">
        <f>J221+K221</f>
        <v>0</v>
      </c>
      <c r="M221" s="42"/>
      <c r="N221" s="30">
        <f>L221+M221</f>
        <v>0</v>
      </c>
      <c r="O221" s="44"/>
    </row>
    <row r="222" spans="1:20">
      <c r="A222" s="111" t="s">
        <v>35</v>
      </c>
      <c r="B222" s="25" t="s">
        <v>270</v>
      </c>
      <c r="C222" s="25" t="s">
        <v>21</v>
      </c>
      <c r="D222" s="25" t="s">
        <v>34</v>
      </c>
      <c r="E222" s="25"/>
      <c r="F222" s="25"/>
      <c r="G222" s="147"/>
      <c r="H222" s="589"/>
      <c r="I222" s="147"/>
      <c r="J222" s="488">
        <f t="shared" ref="J222:L224" si="66">J223</f>
        <v>0</v>
      </c>
      <c r="K222" s="488">
        <f t="shared" si="66"/>
        <v>0</v>
      </c>
      <c r="L222" s="488">
        <f t="shared" si="66"/>
        <v>0</v>
      </c>
      <c r="M222" s="42"/>
      <c r="N222" s="30"/>
      <c r="O222" s="44"/>
    </row>
    <row r="223" spans="1:20">
      <c r="A223" s="111" t="s">
        <v>35</v>
      </c>
      <c r="B223" s="26" t="s">
        <v>270</v>
      </c>
      <c r="C223" s="26" t="s">
        <v>21</v>
      </c>
      <c r="D223" s="26" t="s">
        <v>34</v>
      </c>
      <c r="E223" s="26" t="s">
        <v>289</v>
      </c>
      <c r="F223" s="26"/>
      <c r="G223" s="147"/>
      <c r="H223" s="589"/>
      <c r="I223" s="147"/>
      <c r="J223" s="627">
        <f t="shared" si="66"/>
        <v>0</v>
      </c>
      <c r="K223" s="627">
        <f t="shared" si="66"/>
        <v>0</v>
      </c>
      <c r="L223" s="627">
        <f t="shared" si="66"/>
        <v>0</v>
      </c>
      <c r="M223" s="42"/>
      <c r="N223" s="30"/>
      <c r="O223" s="44"/>
    </row>
    <row r="224" spans="1:20" ht="30">
      <c r="A224" s="111" t="s">
        <v>290</v>
      </c>
      <c r="B224" s="26" t="s">
        <v>270</v>
      </c>
      <c r="C224" s="26" t="s">
        <v>21</v>
      </c>
      <c r="D224" s="26" t="s">
        <v>34</v>
      </c>
      <c r="E224" s="26" t="s">
        <v>291</v>
      </c>
      <c r="F224" s="26"/>
      <c r="G224" s="147"/>
      <c r="H224" s="589"/>
      <c r="I224" s="147"/>
      <c r="J224" s="627">
        <f t="shared" si="66"/>
        <v>0</v>
      </c>
      <c r="K224" s="627">
        <f t="shared" si="66"/>
        <v>0</v>
      </c>
      <c r="L224" s="627">
        <f t="shared" si="66"/>
        <v>0</v>
      </c>
      <c r="M224" s="42"/>
      <c r="N224" s="30"/>
      <c r="O224" s="44"/>
    </row>
    <row r="225" spans="1:16">
      <c r="A225" s="111" t="s">
        <v>287</v>
      </c>
      <c r="B225" s="26" t="s">
        <v>270</v>
      </c>
      <c r="C225" s="26" t="s">
        <v>21</v>
      </c>
      <c r="D225" s="26" t="s">
        <v>34</v>
      </c>
      <c r="E225" s="26" t="s">
        <v>291</v>
      </c>
      <c r="F225" s="26" t="s">
        <v>288</v>
      </c>
      <c r="G225" s="147"/>
      <c r="H225" s="589"/>
      <c r="I225" s="147"/>
      <c r="J225" s="627"/>
      <c r="K225" s="627"/>
      <c r="L225" s="627">
        <f>J225+K225</f>
        <v>0</v>
      </c>
      <c r="M225" s="42"/>
      <c r="N225" s="30"/>
      <c r="O225" s="44">
        <v>233</v>
      </c>
      <c r="P225" s="15">
        <f>K225-O225</f>
        <v>-233</v>
      </c>
    </row>
    <row r="226" spans="1:16" s="113" customFormat="1" hidden="1">
      <c r="A226" s="111" t="s">
        <v>35</v>
      </c>
      <c r="B226" s="25" t="s">
        <v>270</v>
      </c>
      <c r="C226" s="25" t="s">
        <v>21</v>
      </c>
      <c r="D226" s="25" t="s">
        <v>36</v>
      </c>
      <c r="E226" s="25"/>
      <c r="F226" s="25"/>
      <c r="G226" s="565">
        <f t="shared" ref="G226:N228" si="67">G227</f>
        <v>-233.58</v>
      </c>
      <c r="H226" s="565">
        <f t="shared" si="67"/>
        <v>0</v>
      </c>
      <c r="I226" s="565">
        <f t="shared" si="67"/>
        <v>0</v>
      </c>
      <c r="J226" s="488">
        <f t="shared" si="67"/>
        <v>0</v>
      </c>
      <c r="K226" s="488">
        <f t="shared" si="67"/>
        <v>0</v>
      </c>
      <c r="L226" s="488">
        <f t="shared" si="67"/>
        <v>0</v>
      </c>
      <c r="M226" s="95">
        <f t="shared" si="67"/>
        <v>-323</v>
      </c>
      <c r="N226" s="96">
        <f t="shared" si="67"/>
        <v>-323</v>
      </c>
    </row>
    <row r="227" spans="1:16" hidden="1">
      <c r="A227" s="111" t="s">
        <v>35</v>
      </c>
      <c r="B227" s="26" t="s">
        <v>270</v>
      </c>
      <c r="C227" s="26" t="s">
        <v>21</v>
      </c>
      <c r="D227" s="26" t="s">
        <v>36</v>
      </c>
      <c r="E227" s="26" t="s">
        <v>289</v>
      </c>
      <c r="F227" s="26"/>
      <c r="G227" s="147">
        <f t="shared" si="67"/>
        <v>-233.58</v>
      </c>
      <c r="H227" s="147">
        <f t="shared" si="67"/>
        <v>0</v>
      </c>
      <c r="I227" s="147">
        <f t="shared" si="67"/>
        <v>0</v>
      </c>
      <c r="J227" s="627">
        <f t="shared" si="67"/>
        <v>0</v>
      </c>
      <c r="K227" s="627">
        <f t="shared" si="67"/>
        <v>0</v>
      </c>
      <c r="L227" s="627">
        <f t="shared" si="67"/>
        <v>0</v>
      </c>
      <c r="M227" s="42">
        <f t="shared" si="67"/>
        <v>-323</v>
      </c>
      <c r="N227" s="43">
        <f t="shared" si="67"/>
        <v>-323</v>
      </c>
    </row>
    <row r="228" spans="1:16" ht="30" hidden="1">
      <c r="A228" s="111" t="s">
        <v>290</v>
      </c>
      <c r="B228" s="26" t="s">
        <v>270</v>
      </c>
      <c r="C228" s="26" t="s">
        <v>21</v>
      </c>
      <c r="D228" s="26" t="s">
        <v>36</v>
      </c>
      <c r="E228" s="26" t="s">
        <v>291</v>
      </c>
      <c r="F228" s="26"/>
      <c r="G228" s="147">
        <f t="shared" si="67"/>
        <v>-233.58</v>
      </c>
      <c r="H228" s="147">
        <f t="shared" si="67"/>
        <v>0</v>
      </c>
      <c r="I228" s="147">
        <f t="shared" si="67"/>
        <v>0</v>
      </c>
      <c r="J228" s="627">
        <f t="shared" si="67"/>
        <v>0</v>
      </c>
      <c r="K228" s="627">
        <f t="shared" si="67"/>
        <v>0</v>
      </c>
      <c r="L228" s="627">
        <f t="shared" si="67"/>
        <v>0</v>
      </c>
      <c r="M228" s="42">
        <f t="shared" si="67"/>
        <v>-323</v>
      </c>
      <c r="N228" s="43">
        <f t="shared" si="67"/>
        <v>-323</v>
      </c>
    </row>
    <row r="229" spans="1:16" hidden="1">
      <c r="A229" s="111" t="s">
        <v>287</v>
      </c>
      <c r="B229" s="26" t="s">
        <v>270</v>
      </c>
      <c r="C229" s="26" t="s">
        <v>21</v>
      </c>
      <c r="D229" s="26" t="s">
        <v>36</v>
      </c>
      <c r="E229" s="26" t="s">
        <v>291</v>
      </c>
      <c r="F229" s="26" t="s">
        <v>288</v>
      </c>
      <c r="G229" s="147">
        <f>-163.58-60-10</f>
        <v>-233.58</v>
      </c>
      <c r="H229" s="589"/>
      <c r="I229" s="147"/>
      <c r="J229" s="627"/>
      <c r="K229" s="627"/>
      <c r="L229" s="627">
        <f>J229+K229</f>
        <v>0</v>
      </c>
      <c r="M229" s="28">
        <f>-323</f>
        <v>-323</v>
      </c>
      <c r="N229" s="55">
        <f>L229+M229</f>
        <v>-323</v>
      </c>
      <c r="O229" s="44"/>
    </row>
    <row r="230" spans="1:16" s="113" customFormat="1" ht="14.25" customHeight="1">
      <c r="A230" s="114" t="s">
        <v>40</v>
      </c>
      <c r="B230" s="115" t="s">
        <v>270</v>
      </c>
      <c r="C230" s="115" t="s">
        <v>22</v>
      </c>
      <c r="D230" s="115" t="s">
        <v>292</v>
      </c>
      <c r="E230" s="115"/>
      <c r="F230" s="115"/>
      <c r="G230" s="601">
        <f t="shared" ref="G230:N232" si="68">G231</f>
        <v>-1000</v>
      </c>
      <c r="H230" s="601">
        <f t="shared" si="68"/>
        <v>1548</v>
      </c>
      <c r="I230" s="601">
        <f t="shared" si="68"/>
        <v>0</v>
      </c>
      <c r="J230" s="379">
        <f t="shared" si="68"/>
        <v>541.5</v>
      </c>
      <c r="K230" s="379">
        <f t="shared" si="68"/>
        <v>0</v>
      </c>
      <c r="L230" s="379">
        <f t="shared" si="68"/>
        <v>541.5</v>
      </c>
      <c r="M230" s="95">
        <f t="shared" si="68"/>
        <v>0</v>
      </c>
      <c r="N230" s="96">
        <f t="shared" si="68"/>
        <v>541.5</v>
      </c>
    </row>
    <row r="231" spans="1:16" ht="26.25" customHeight="1">
      <c r="A231" s="62" t="s">
        <v>293</v>
      </c>
      <c r="B231" s="26" t="s">
        <v>270</v>
      </c>
      <c r="C231" s="26" t="s">
        <v>22</v>
      </c>
      <c r="D231" s="26" t="s">
        <v>24</v>
      </c>
      <c r="E231" s="26"/>
      <c r="F231" s="26"/>
      <c r="G231" s="147">
        <f t="shared" si="68"/>
        <v>-1000</v>
      </c>
      <c r="H231" s="147">
        <f t="shared" si="68"/>
        <v>1548</v>
      </c>
      <c r="I231" s="147">
        <f t="shared" si="68"/>
        <v>0</v>
      </c>
      <c r="J231" s="627">
        <f t="shared" si="68"/>
        <v>541.5</v>
      </c>
      <c r="K231" s="627">
        <f t="shared" si="68"/>
        <v>0</v>
      </c>
      <c r="L231" s="627">
        <f t="shared" si="68"/>
        <v>541.5</v>
      </c>
      <c r="M231" s="42">
        <f t="shared" si="68"/>
        <v>0</v>
      </c>
      <c r="N231" s="43">
        <f t="shared" si="68"/>
        <v>541.5</v>
      </c>
    </row>
    <row r="232" spans="1:16" ht="43.5" customHeight="1">
      <c r="A232" s="62" t="s">
        <v>294</v>
      </c>
      <c r="B232" s="26" t="s">
        <v>270</v>
      </c>
      <c r="C232" s="26" t="s">
        <v>22</v>
      </c>
      <c r="D232" s="26" t="s">
        <v>24</v>
      </c>
      <c r="E232" s="26" t="s">
        <v>295</v>
      </c>
      <c r="F232" s="26"/>
      <c r="G232" s="147">
        <f t="shared" si="68"/>
        <v>-1000</v>
      </c>
      <c r="H232" s="147">
        <f t="shared" si="68"/>
        <v>1548</v>
      </c>
      <c r="I232" s="147">
        <f t="shared" si="68"/>
        <v>0</v>
      </c>
      <c r="J232" s="627">
        <f>J233+J234</f>
        <v>541.5</v>
      </c>
      <c r="K232" s="627">
        <f>K233+K234</f>
        <v>0</v>
      </c>
      <c r="L232" s="627">
        <f>L233+L234</f>
        <v>541.5</v>
      </c>
      <c r="M232" s="30">
        <f>M233+M234</f>
        <v>0</v>
      </c>
      <c r="N232" s="30">
        <f>N233+N234</f>
        <v>541.5</v>
      </c>
    </row>
    <row r="233" spans="1:16" ht="15" customHeight="1">
      <c r="A233" s="116" t="s">
        <v>296</v>
      </c>
      <c r="B233" s="26" t="s">
        <v>270</v>
      </c>
      <c r="C233" s="26" t="s">
        <v>22</v>
      </c>
      <c r="D233" s="26" t="s">
        <v>24</v>
      </c>
      <c r="E233" s="26" t="s">
        <v>295</v>
      </c>
      <c r="F233" s="26" t="s">
        <v>297</v>
      </c>
      <c r="G233" s="147">
        <v>-1000</v>
      </c>
      <c r="H233" s="589">
        <v>1548</v>
      </c>
      <c r="I233" s="147"/>
      <c r="J233" s="627">
        <v>541.5</v>
      </c>
      <c r="K233" s="627"/>
      <c r="L233" s="627">
        <f>J233+K233</f>
        <v>541.5</v>
      </c>
      <c r="M233" s="42"/>
      <c r="N233" s="30">
        <f>L233+M233</f>
        <v>541.5</v>
      </c>
      <c r="O233" s="11">
        <v>470.2</v>
      </c>
      <c r="P233" s="15">
        <f>K233</f>
        <v>0</v>
      </c>
    </row>
    <row r="234" spans="1:16" ht="25.5" hidden="1" customHeight="1">
      <c r="A234" s="111" t="s">
        <v>298</v>
      </c>
      <c r="B234" s="26" t="s">
        <v>270</v>
      </c>
      <c r="C234" s="26" t="s">
        <v>21</v>
      </c>
      <c r="D234" s="26" t="s">
        <v>39</v>
      </c>
      <c r="E234" s="26"/>
      <c r="F234" s="26"/>
      <c r="G234" s="67">
        <f t="shared" ref="G234:N234" si="69">G235</f>
        <v>0</v>
      </c>
      <c r="H234" s="67">
        <f t="shared" si="69"/>
        <v>0</v>
      </c>
      <c r="I234" s="67">
        <f t="shared" si="69"/>
        <v>0</v>
      </c>
      <c r="J234" s="627">
        <f t="shared" si="69"/>
        <v>0</v>
      </c>
      <c r="K234" s="627">
        <f t="shared" si="69"/>
        <v>0</v>
      </c>
      <c r="L234" s="627">
        <f t="shared" si="69"/>
        <v>0</v>
      </c>
      <c r="M234" s="117">
        <f t="shared" si="69"/>
        <v>0</v>
      </c>
      <c r="N234" s="117">
        <f t="shared" si="69"/>
        <v>0</v>
      </c>
    </row>
    <row r="235" spans="1:16" ht="28.5" hidden="1" customHeight="1">
      <c r="A235" s="111" t="s">
        <v>299</v>
      </c>
      <c r="B235" s="26" t="s">
        <v>270</v>
      </c>
      <c r="C235" s="26" t="s">
        <v>21</v>
      </c>
      <c r="D235" s="26" t="s">
        <v>39</v>
      </c>
      <c r="E235" s="26"/>
      <c r="F235" s="26" t="s">
        <v>288</v>
      </c>
      <c r="G235" s="147"/>
      <c r="H235" s="589"/>
      <c r="I235" s="147"/>
      <c r="J235" s="627"/>
      <c r="K235" s="627"/>
      <c r="L235" s="627">
        <f>J235+K235</f>
        <v>0</v>
      </c>
      <c r="M235" s="118"/>
      <c r="N235" s="117">
        <f>L235+M235</f>
        <v>0</v>
      </c>
    </row>
    <row r="236" spans="1:16" ht="43.5">
      <c r="A236" s="176" t="s">
        <v>43</v>
      </c>
      <c r="B236" s="34" t="s">
        <v>270</v>
      </c>
      <c r="C236" s="34" t="s">
        <v>24</v>
      </c>
      <c r="D236" s="26"/>
      <c r="E236" s="26"/>
      <c r="F236" s="26"/>
      <c r="G236" s="585">
        <f t="shared" ref="G236:N236" si="70">G237</f>
        <v>0</v>
      </c>
      <c r="H236" s="585">
        <f t="shared" si="70"/>
        <v>526.1</v>
      </c>
      <c r="I236" s="585">
        <f t="shared" si="70"/>
        <v>0</v>
      </c>
      <c r="J236" s="379">
        <f t="shared" si="70"/>
        <v>700</v>
      </c>
      <c r="K236" s="379">
        <f t="shared" si="70"/>
        <v>0</v>
      </c>
      <c r="L236" s="379">
        <f t="shared" si="70"/>
        <v>700</v>
      </c>
      <c r="M236" s="106">
        <f t="shared" si="70"/>
        <v>0</v>
      </c>
      <c r="N236" s="107">
        <f t="shared" si="70"/>
        <v>700</v>
      </c>
    </row>
    <row r="237" spans="1:16" s="113" customFormat="1" ht="14.25">
      <c r="A237" s="119" t="s">
        <v>45</v>
      </c>
      <c r="B237" s="25" t="s">
        <v>270</v>
      </c>
      <c r="C237" s="25" t="s">
        <v>24</v>
      </c>
      <c r="D237" s="25" t="s">
        <v>22</v>
      </c>
      <c r="E237" s="25"/>
      <c r="F237" s="25"/>
      <c r="G237" s="565">
        <f t="shared" ref="G237:M237" si="71">G238+G240</f>
        <v>0</v>
      </c>
      <c r="H237" s="565">
        <f t="shared" si="71"/>
        <v>526.1</v>
      </c>
      <c r="I237" s="565">
        <f t="shared" si="71"/>
        <v>0</v>
      </c>
      <c r="J237" s="488">
        <f t="shared" si="71"/>
        <v>700</v>
      </c>
      <c r="K237" s="488">
        <f t="shared" si="71"/>
        <v>0</v>
      </c>
      <c r="L237" s="488">
        <f t="shared" si="71"/>
        <v>700</v>
      </c>
      <c r="M237" s="95">
        <f t="shared" si="71"/>
        <v>0</v>
      </c>
      <c r="N237" s="96">
        <f>N238+N240</f>
        <v>700</v>
      </c>
    </row>
    <row r="238" spans="1:16" ht="38.25">
      <c r="A238" s="602" t="s">
        <v>300</v>
      </c>
      <c r="B238" s="26" t="s">
        <v>270</v>
      </c>
      <c r="C238" s="26" t="s">
        <v>24</v>
      </c>
      <c r="D238" s="26" t="s">
        <v>22</v>
      </c>
      <c r="E238" s="26" t="s">
        <v>301</v>
      </c>
      <c r="F238" s="26"/>
      <c r="G238" s="147">
        <f t="shared" ref="G238:N238" si="72">G239</f>
        <v>0</v>
      </c>
      <c r="H238" s="147">
        <f t="shared" si="72"/>
        <v>316.5</v>
      </c>
      <c r="I238" s="147">
        <f t="shared" si="72"/>
        <v>0</v>
      </c>
      <c r="J238" s="627">
        <f t="shared" si="72"/>
        <v>300</v>
      </c>
      <c r="K238" s="627">
        <f t="shared" si="72"/>
        <v>0</v>
      </c>
      <c r="L238" s="627">
        <f t="shared" si="72"/>
        <v>300</v>
      </c>
      <c r="M238" s="42">
        <f t="shared" si="72"/>
        <v>0</v>
      </c>
      <c r="N238" s="43">
        <f t="shared" si="72"/>
        <v>300</v>
      </c>
    </row>
    <row r="239" spans="1:16" ht="30">
      <c r="A239" s="116" t="s">
        <v>135</v>
      </c>
      <c r="B239" s="26" t="s">
        <v>270</v>
      </c>
      <c r="C239" s="26" t="s">
        <v>24</v>
      </c>
      <c r="D239" s="26" t="s">
        <v>22</v>
      </c>
      <c r="E239" s="26" t="s">
        <v>301</v>
      </c>
      <c r="F239" s="26" t="s">
        <v>133</v>
      </c>
      <c r="G239" s="147"/>
      <c r="H239" s="589">
        <v>316.5</v>
      </c>
      <c r="I239" s="147"/>
      <c r="J239" s="627">
        <v>300</v>
      </c>
      <c r="K239" s="627"/>
      <c r="L239" s="627">
        <f>J239+K239</f>
        <v>300</v>
      </c>
      <c r="M239" s="42"/>
      <c r="N239" s="30">
        <f>L239+M239</f>
        <v>300</v>
      </c>
      <c r="O239" s="44"/>
    </row>
    <row r="240" spans="1:16" ht="43.5" customHeight="1">
      <c r="A240" s="120" t="s">
        <v>302</v>
      </c>
      <c r="B240" s="26" t="s">
        <v>270</v>
      </c>
      <c r="C240" s="26" t="s">
        <v>24</v>
      </c>
      <c r="D240" s="26" t="s">
        <v>22</v>
      </c>
      <c r="E240" s="26" t="s">
        <v>303</v>
      </c>
      <c r="F240" s="26"/>
      <c r="G240" s="147">
        <f t="shared" ref="G240:N240" si="73">G241</f>
        <v>0</v>
      </c>
      <c r="H240" s="147">
        <f t="shared" si="73"/>
        <v>209.6</v>
      </c>
      <c r="I240" s="147">
        <f t="shared" si="73"/>
        <v>0</v>
      </c>
      <c r="J240" s="627">
        <f t="shared" si="73"/>
        <v>400</v>
      </c>
      <c r="K240" s="627">
        <f t="shared" si="73"/>
        <v>0</v>
      </c>
      <c r="L240" s="627">
        <f t="shared" si="73"/>
        <v>400</v>
      </c>
      <c r="M240" s="42">
        <f t="shared" si="73"/>
        <v>0</v>
      </c>
      <c r="N240" s="43">
        <f t="shared" si="73"/>
        <v>400</v>
      </c>
    </row>
    <row r="241" spans="1:16" ht="30.75" thickBot="1">
      <c r="A241" s="116" t="s">
        <v>135</v>
      </c>
      <c r="B241" s="26" t="s">
        <v>270</v>
      </c>
      <c r="C241" s="26" t="s">
        <v>24</v>
      </c>
      <c r="D241" s="26" t="s">
        <v>22</v>
      </c>
      <c r="E241" s="26" t="s">
        <v>303</v>
      </c>
      <c r="F241" s="26" t="s">
        <v>133</v>
      </c>
      <c r="G241" s="147"/>
      <c r="H241" s="589">
        <v>209.6</v>
      </c>
      <c r="I241" s="147"/>
      <c r="J241" s="627">
        <f>200+200</f>
        <v>400</v>
      </c>
      <c r="K241" s="627"/>
      <c r="L241" s="627">
        <f>J241+K241</f>
        <v>400</v>
      </c>
      <c r="M241" s="83"/>
      <c r="N241" s="103">
        <f>L241+M241</f>
        <v>400</v>
      </c>
      <c r="O241" s="44"/>
    </row>
    <row r="242" spans="1:16">
      <c r="A242" s="176" t="s">
        <v>48</v>
      </c>
      <c r="B242" s="34" t="s">
        <v>270</v>
      </c>
      <c r="C242" s="34" t="s">
        <v>26</v>
      </c>
      <c r="D242" s="34"/>
      <c r="E242" s="34"/>
      <c r="F242" s="34"/>
      <c r="G242" s="585" t="e">
        <f t="shared" ref="G242:N242" si="74">G243+G247</f>
        <v>#REF!</v>
      </c>
      <c r="H242" s="585" t="e">
        <f t="shared" si="74"/>
        <v>#REF!</v>
      </c>
      <c r="I242" s="585" t="e">
        <f t="shared" si="74"/>
        <v>#REF!</v>
      </c>
      <c r="J242" s="379">
        <f t="shared" si="74"/>
        <v>1025.5175300000001</v>
      </c>
      <c r="K242" s="379">
        <f t="shared" si="74"/>
        <v>1612.4785499999998</v>
      </c>
      <c r="L242" s="379">
        <f t="shared" si="74"/>
        <v>2637.9960799999999</v>
      </c>
      <c r="M242" s="40" t="e">
        <f t="shared" si="74"/>
        <v>#REF!</v>
      </c>
      <c r="N242" s="41" t="e">
        <f t="shared" si="74"/>
        <v>#REF!</v>
      </c>
    </row>
    <row r="243" spans="1:16" s="113" customFormat="1" ht="17.25" customHeight="1">
      <c r="A243" s="121" t="s">
        <v>50</v>
      </c>
      <c r="B243" s="25" t="s">
        <v>270</v>
      </c>
      <c r="C243" s="25" t="s">
        <v>26</v>
      </c>
      <c r="D243" s="25" t="s">
        <v>21</v>
      </c>
      <c r="E243" s="25"/>
      <c r="F243" s="25"/>
      <c r="G243" s="565" t="e">
        <f>G244</f>
        <v>#REF!</v>
      </c>
      <c r="H243" s="207" t="e">
        <f>H244+#REF!</f>
        <v>#REF!</v>
      </c>
      <c r="I243" s="207" t="e">
        <f>I244+#REF!</f>
        <v>#REF!</v>
      </c>
      <c r="J243" s="488">
        <f>J244</f>
        <v>542.28953000000001</v>
      </c>
      <c r="K243" s="488">
        <f>K244</f>
        <v>-56.352450000000005</v>
      </c>
      <c r="L243" s="488">
        <f>L244</f>
        <v>485.93707999999998</v>
      </c>
      <c r="M243" s="70" t="e">
        <f>M244+#REF!</f>
        <v>#REF!</v>
      </c>
      <c r="N243" s="122" t="e">
        <f>N244+#REF!</f>
        <v>#REF!</v>
      </c>
    </row>
    <row r="244" spans="1:16" ht="30">
      <c r="A244" s="123" t="s">
        <v>1150</v>
      </c>
      <c r="B244" s="26" t="s">
        <v>270</v>
      </c>
      <c r="C244" s="26" t="s">
        <v>26</v>
      </c>
      <c r="D244" s="26" t="s">
        <v>21</v>
      </c>
      <c r="E244" s="26" t="s">
        <v>1140</v>
      </c>
      <c r="F244" s="26"/>
      <c r="G244" s="147" t="e">
        <f>#REF!</f>
        <v>#REF!</v>
      </c>
      <c r="H244" s="147" t="e">
        <f>#REF!</f>
        <v>#REF!</v>
      </c>
      <c r="I244" s="147" t="e">
        <f>#REF!</f>
        <v>#REF!</v>
      </c>
      <c r="J244" s="627">
        <f>SUM(J245:J246)</f>
        <v>542.28953000000001</v>
      </c>
      <c r="K244" s="627">
        <f>SUM(K245:K246)</f>
        <v>-56.352450000000005</v>
      </c>
      <c r="L244" s="627">
        <f>SUM(L245:L246)</f>
        <v>485.93707999999998</v>
      </c>
      <c r="M244" s="42" t="e">
        <f>#REF!</f>
        <v>#REF!</v>
      </c>
      <c r="N244" s="43" t="e">
        <f>#REF!</f>
        <v>#REF!</v>
      </c>
      <c r="P244" s="123"/>
    </row>
    <row r="245" spans="1:16">
      <c r="A245" s="123" t="s">
        <v>6</v>
      </c>
      <c r="B245" s="26" t="s">
        <v>270</v>
      </c>
      <c r="C245" s="26" t="s">
        <v>26</v>
      </c>
      <c r="D245" s="26" t="s">
        <v>21</v>
      </c>
      <c r="E245" s="26" t="s">
        <v>1140</v>
      </c>
      <c r="F245" s="26" t="s">
        <v>334</v>
      </c>
      <c r="G245" s="147"/>
      <c r="H245" s="147"/>
      <c r="I245" s="147"/>
      <c r="J245" s="627">
        <v>94.502669999999995</v>
      </c>
      <c r="K245" s="627">
        <f>138.10405</f>
        <v>138.10405</v>
      </c>
      <c r="L245" s="627">
        <f>J245+K245</f>
        <v>232.60672</v>
      </c>
      <c r="M245" s="42"/>
      <c r="N245" s="43"/>
    </row>
    <row r="246" spans="1:16" ht="30">
      <c r="A246" s="116" t="s">
        <v>135</v>
      </c>
      <c r="B246" s="26" t="s">
        <v>270</v>
      </c>
      <c r="C246" s="26" t="s">
        <v>26</v>
      </c>
      <c r="D246" s="26" t="s">
        <v>21</v>
      </c>
      <c r="E246" s="26" t="s">
        <v>1140</v>
      </c>
      <c r="F246" s="26" t="s">
        <v>142</v>
      </c>
      <c r="G246" s="147"/>
      <c r="H246" s="147"/>
      <c r="I246" s="147"/>
      <c r="J246" s="627">
        <v>447.78685999999999</v>
      </c>
      <c r="K246" s="627">
        <f>60.6-255.0565</f>
        <v>-194.45650000000001</v>
      </c>
      <c r="L246" s="627">
        <f>J246+K246</f>
        <v>253.33035999999998</v>
      </c>
      <c r="M246" s="42"/>
      <c r="N246" s="43"/>
    </row>
    <row r="247" spans="1:16" s="113" customFormat="1" ht="24" customHeight="1">
      <c r="A247" s="112" t="s">
        <v>56</v>
      </c>
      <c r="B247" s="25" t="s">
        <v>270</v>
      </c>
      <c r="C247" s="25" t="s">
        <v>26</v>
      </c>
      <c r="D247" s="25" t="s">
        <v>36</v>
      </c>
      <c r="E247" s="25"/>
      <c r="F247" s="25"/>
      <c r="G247" s="565">
        <f>G254</f>
        <v>0</v>
      </c>
      <c r="H247" s="565">
        <f>H254</f>
        <v>235.5</v>
      </c>
      <c r="I247" s="565">
        <f>I254</f>
        <v>0</v>
      </c>
      <c r="J247" s="488">
        <f>J254+J248+J252</f>
        <v>483.22800000000001</v>
      </c>
      <c r="K247" s="488">
        <f t="shared" ref="K247:L247" si="75">K254+K248+K252</f>
        <v>1668.8309999999999</v>
      </c>
      <c r="L247" s="488">
        <f t="shared" si="75"/>
        <v>2152.0589999999997</v>
      </c>
      <c r="M247" s="95">
        <f>M254</f>
        <v>0</v>
      </c>
      <c r="N247" s="96">
        <f>N254</f>
        <v>950</v>
      </c>
    </row>
    <row r="248" spans="1:16" ht="33" customHeight="1">
      <c r="A248" s="603" t="s">
        <v>1151</v>
      </c>
      <c r="B248" s="26" t="s">
        <v>270</v>
      </c>
      <c r="C248" s="26" t="s">
        <v>26</v>
      </c>
      <c r="D248" s="26" t="s">
        <v>36</v>
      </c>
      <c r="E248" s="26" t="s">
        <v>1146</v>
      </c>
      <c r="F248" s="26"/>
      <c r="G248" s="147"/>
      <c r="H248" s="147"/>
      <c r="I248" s="147"/>
      <c r="J248" s="627">
        <f>J249+J250</f>
        <v>83.228000000000009</v>
      </c>
      <c r="K248" s="627">
        <f>K249+K250</f>
        <v>-50</v>
      </c>
      <c r="L248" s="627">
        <f>L249+L250</f>
        <v>33.228000000000002</v>
      </c>
      <c r="M248" s="42"/>
      <c r="N248" s="43"/>
    </row>
    <row r="249" spans="1:16" ht="62.25" customHeight="1">
      <c r="A249" s="111" t="s">
        <v>306</v>
      </c>
      <c r="B249" s="26" t="s">
        <v>270</v>
      </c>
      <c r="C249" s="26" t="s">
        <v>26</v>
      </c>
      <c r="D249" s="26" t="s">
        <v>36</v>
      </c>
      <c r="E249" s="26" t="s">
        <v>1147</v>
      </c>
      <c r="F249" s="26" t="s">
        <v>305</v>
      </c>
      <c r="G249" s="147"/>
      <c r="H249" s="147"/>
      <c r="I249" s="147"/>
      <c r="J249" s="627">
        <v>33.228000000000002</v>
      </c>
      <c r="K249" s="627"/>
      <c r="L249" s="627">
        <f>J249+K249</f>
        <v>33.228000000000002</v>
      </c>
      <c r="M249" s="42"/>
      <c r="N249" s="43"/>
    </row>
    <row r="250" spans="1:16" s="113" customFormat="1" ht="26.25">
      <c r="A250" s="603" t="s">
        <v>1151</v>
      </c>
      <c r="B250" s="26" t="s">
        <v>270</v>
      </c>
      <c r="C250" s="26" t="s">
        <v>26</v>
      </c>
      <c r="D250" s="26" t="s">
        <v>36</v>
      </c>
      <c r="E250" s="26" t="s">
        <v>307</v>
      </c>
      <c r="F250" s="26"/>
      <c r="G250" s="565"/>
      <c r="H250" s="565"/>
      <c r="I250" s="565"/>
      <c r="J250" s="627">
        <f>J251</f>
        <v>50</v>
      </c>
      <c r="K250" s="627">
        <f>K251</f>
        <v>-50</v>
      </c>
      <c r="L250" s="627">
        <f>L251</f>
        <v>0</v>
      </c>
      <c r="M250" s="95"/>
      <c r="N250" s="96"/>
    </row>
    <row r="251" spans="1:16" s="113" customFormat="1" ht="60">
      <c r="A251" s="62" t="s">
        <v>306</v>
      </c>
      <c r="B251" s="26" t="s">
        <v>270</v>
      </c>
      <c r="C251" s="26" t="s">
        <v>26</v>
      </c>
      <c r="D251" s="26" t="s">
        <v>36</v>
      </c>
      <c r="E251" s="26" t="s">
        <v>307</v>
      </c>
      <c r="F251" s="26" t="s">
        <v>305</v>
      </c>
      <c r="G251" s="565"/>
      <c r="H251" s="565"/>
      <c r="I251" s="565"/>
      <c r="J251" s="627">
        <v>50</v>
      </c>
      <c r="K251" s="627">
        <v>-50</v>
      </c>
      <c r="L251" s="627">
        <f>J251+K251</f>
        <v>0</v>
      </c>
      <c r="M251" s="95"/>
      <c r="N251" s="96"/>
      <c r="O251" s="125"/>
    </row>
    <row r="252" spans="1:16" s="113" customFormat="1" ht="60">
      <c r="A252" s="62" t="s">
        <v>1197</v>
      </c>
      <c r="B252" s="26" t="s">
        <v>270</v>
      </c>
      <c r="C252" s="26" t="s">
        <v>26</v>
      </c>
      <c r="D252" s="26" t="s">
        <v>36</v>
      </c>
      <c r="E252" s="26" t="s">
        <v>1196</v>
      </c>
      <c r="F252" s="26"/>
      <c r="G252" s="565"/>
      <c r="H252" s="565"/>
      <c r="I252" s="565"/>
      <c r="J252" s="627">
        <f>J253</f>
        <v>0</v>
      </c>
      <c r="K252" s="627">
        <f t="shared" ref="K252:L252" si="76">K253</f>
        <v>1168.8309999999999</v>
      </c>
      <c r="L252" s="627">
        <f t="shared" si="76"/>
        <v>1168.8309999999999</v>
      </c>
      <c r="M252" s="516"/>
      <c r="N252" s="96"/>
      <c r="O252" s="125"/>
    </row>
    <row r="253" spans="1:16" s="113" customFormat="1" ht="60">
      <c r="A253" s="62" t="s">
        <v>1197</v>
      </c>
      <c r="B253" s="26" t="s">
        <v>270</v>
      </c>
      <c r="C253" s="26" t="s">
        <v>26</v>
      </c>
      <c r="D253" s="26" t="s">
        <v>36</v>
      </c>
      <c r="E253" s="26" t="s">
        <v>1196</v>
      </c>
      <c r="F253" s="26" t="s">
        <v>305</v>
      </c>
      <c r="G253" s="565"/>
      <c r="H253" s="565"/>
      <c r="I253" s="565"/>
      <c r="J253" s="627"/>
      <c r="K253" s="627">
        <v>1168.8309999999999</v>
      </c>
      <c r="L253" s="627">
        <f>J253+K253</f>
        <v>1168.8309999999999</v>
      </c>
      <c r="M253" s="516"/>
      <c r="N253" s="96"/>
      <c r="O253" s="125"/>
    </row>
    <row r="254" spans="1:16" ht="39">
      <c r="A254" s="126" t="s">
        <v>308</v>
      </c>
      <c r="B254" s="127" t="s">
        <v>270</v>
      </c>
      <c r="C254" s="127" t="s">
        <v>26</v>
      </c>
      <c r="D254" s="127" t="s">
        <v>36</v>
      </c>
      <c r="E254" s="127" t="s">
        <v>309</v>
      </c>
      <c r="F254" s="127"/>
      <c r="G254" s="67">
        <f t="shared" ref="G254:N254" si="77">G255</f>
        <v>0</v>
      </c>
      <c r="H254" s="67">
        <f t="shared" si="77"/>
        <v>235.5</v>
      </c>
      <c r="I254" s="67">
        <f t="shared" si="77"/>
        <v>0</v>
      </c>
      <c r="J254" s="627">
        <f t="shared" si="77"/>
        <v>400</v>
      </c>
      <c r="K254" s="627">
        <f t="shared" si="77"/>
        <v>550</v>
      </c>
      <c r="L254" s="627">
        <f t="shared" si="77"/>
        <v>950</v>
      </c>
      <c r="M254" s="42">
        <f t="shared" si="77"/>
        <v>0</v>
      </c>
      <c r="N254" s="43">
        <f t="shared" si="77"/>
        <v>950</v>
      </c>
    </row>
    <row r="255" spans="1:16" ht="30">
      <c r="A255" s="116" t="s">
        <v>135</v>
      </c>
      <c r="B255" s="127" t="s">
        <v>270</v>
      </c>
      <c r="C255" s="127" t="s">
        <v>26</v>
      </c>
      <c r="D255" s="127" t="s">
        <v>36</v>
      </c>
      <c r="E255" s="127" t="s">
        <v>309</v>
      </c>
      <c r="F255" s="127" t="s">
        <v>133</v>
      </c>
      <c r="G255" s="67"/>
      <c r="H255" s="66">
        <v>235.5</v>
      </c>
      <c r="I255" s="67"/>
      <c r="J255" s="627">
        <v>400</v>
      </c>
      <c r="K255" s="627">
        <f>500+50</f>
        <v>550</v>
      </c>
      <c r="L255" s="627">
        <f>J255+K255</f>
        <v>950</v>
      </c>
      <c r="M255" s="42"/>
      <c r="N255" s="30">
        <f>L255+M255</f>
        <v>950</v>
      </c>
      <c r="O255" s="44">
        <v>400</v>
      </c>
    </row>
    <row r="256" spans="1:16" ht="29.25">
      <c r="A256" s="33" t="s">
        <v>310</v>
      </c>
      <c r="B256" s="128" t="s">
        <v>270</v>
      </c>
      <c r="C256" s="128" t="s">
        <v>28</v>
      </c>
      <c r="D256" s="128"/>
      <c r="E256" s="128"/>
      <c r="F256" s="128"/>
      <c r="G256" s="129"/>
      <c r="H256" s="129">
        <f>H262</f>
        <v>0</v>
      </c>
      <c r="I256" s="129">
        <f>I262</f>
        <v>31353.699999999997</v>
      </c>
      <c r="J256" s="381">
        <f>J262+J257</f>
        <v>1186</v>
      </c>
      <c r="K256" s="381">
        <f>K262+K257</f>
        <v>140</v>
      </c>
      <c r="L256" s="381">
        <f>L262+L257</f>
        <v>1326</v>
      </c>
      <c r="M256" s="142">
        <f>M262+M257</f>
        <v>0</v>
      </c>
      <c r="N256" s="130">
        <f>N262+N257</f>
        <v>620</v>
      </c>
    </row>
    <row r="257" spans="1:18">
      <c r="A257" s="109" t="s">
        <v>60</v>
      </c>
      <c r="B257" s="25" t="s">
        <v>270</v>
      </c>
      <c r="C257" s="25" t="s">
        <v>28</v>
      </c>
      <c r="D257" s="25" t="s">
        <v>22</v>
      </c>
      <c r="E257" s="25"/>
      <c r="F257" s="25"/>
      <c r="G257" s="132"/>
      <c r="H257" s="132"/>
      <c r="I257" s="132"/>
      <c r="J257" s="488">
        <f>J260+J258</f>
        <v>676</v>
      </c>
      <c r="K257" s="488">
        <f>K260+K258</f>
        <v>30</v>
      </c>
      <c r="L257" s="488">
        <f>L260+L258</f>
        <v>706</v>
      </c>
      <c r="M257" s="131"/>
      <c r="N257" s="58"/>
    </row>
    <row r="258" spans="1:18" ht="75">
      <c r="A258" s="110" t="s">
        <v>311</v>
      </c>
      <c r="B258" s="127" t="s">
        <v>270</v>
      </c>
      <c r="C258" s="127" t="s">
        <v>28</v>
      </c>
      <c r="D258" s="127" t="s">
        <v>22</v>
      </c>
      <c r="E258" s="127" t="s">
        <v>312</v>
      </c>
      <c r="F258" s="127"/>
      <c r="G258" s="134"/>
      <c r="H258" s="134">
        <f t="shared" ref="H258:N258" si="78">H259</f>
        <v>0</v>
      </c>
      <c r="I258" s="134">
        <f t="shared" si="78"/>
        <v>23145.3</v>
      </c>
      <c r="J258" s="627">
        <f t="shared" si="78"/>
        <v>370</v>
      </c>
      <c r="K258" s="627">
        <f t="shared" si="78"/>
        <v>30</v>
      </c>
      <c r="L258" s="627">
        <f t="shared" si="78"/>
        <v>400</v>
      </c>
      <c r="M258" s="133">
        <f t="shared" si="78"/>
        <v>0</v>
      </c>
      <c r="N258" s="43">
        <f t="shared" si="78"/>
        <v>400</v>
      </c>
    </row>
    <row r="259" spans="1:18">
      <c r="A259" s="110" t="s">
        <v>6</v>
      </c>
      <c r="B259" s="127" t="s">
        <v>270</v>
      </c>
      <c r="C259" s="127" t="s">
        <v>28</v>
      </c>
      <c r="D259" s="127" t="s">
        <v>22</v>
      </c>
      <c r="E259" s="127" t="s">
        <v>312</v>
      </c>
      <c r="F259" s="127" t="s">
        <v>313</v>
      </c>
      <c r="G259" s="134"/>
      <c r="H259" s="134"/>
      <c r="I259" s="134">
        <v>23145.3</v>
      </c>
      <c r="J259" s="627">
        <v>370</v>
      </c>
      <c r="K259" s="627">
        <f>30</f>
        <v>30</v>
      </c>
      <c r="L259" s="627">
        <f>J259+K259</f>
        <v>400</v>
      </c>
      <c r="M259" s="133"/>
      <c r="N259" s="58">
        <f>L259+M259</f>
        <v>400</v>
      </c>
      <c r="O259" s="11">
        <v>350</v>
      </c>
    </row>
    <row r="260" spans="1:18" ht="45">
      <c r="A260" s="116" t="s">
        <v>1035</v>
      </c>
      <c r="B260" s="26" t="s">
        <v>270</v>
      </c>
      <c r="C260" s="26" t="s">
        <v>28</v>
      </c>
      <c r="D260" s="26" t="s">
        <v>22</v>
      </c>
      <c r="E260" s="26" t="s">
        <v>1031</v>
      </c>
      <c r="F260" s="26"/>
      <c r="G260" s="185"/>
      <c r="H260" s="185"/>
      <c r="I260" s="185"/>
      <c r="J260" s="627">
        <f>J261</f>
        <v>306</v>
      </c>
      <c r="K260" s="627">
        <f>K261</f>
        <v>0</v>
      </c>
      <c r="L260" s="627">
        <f>L261</f>
        <v>306</v>
      </c>
      <c r="M260" s="131"/>
      <c r="N260" s="58"/>
    </row>
    <row r="261" spans="1:18">
      <c r="A261" s="110" t="s">
        <v>6</v>
      </c>
      <c r="B261" s="26" t="s">
        <v>270</v>
      </c>
      <c r="C261" s="26" t="s">
        <v>28</v>
      </c>
      <c r="D261" s="26" t="s">
        <v>22</v>
      </c>
      <c r="E261" s="26" t="s">
        <v>1031</v>
      </c>
      <c r="F261" s="26" t="s">
        <v>334</v>
      </c>
      <c r="G261" s="185"/>
      <c r="H261" s="185"/>
      <c r="I261" s="185"/>
      <c r="J261" s="627">
        <v>306</v>
      </c>
      <c r="K261" s="627"/>
      <c r="L261" s="627">
        <f>J261+K261</f>
        <v>306</v>
      </c>
      <c r="M261" s="131"/>
      <c r="N261" s="58"/>
    </row>
    <row r="262" spans="1:18">
      <c r="A262" s="24" t="s">
        <v>61</v>
      </c>
      <c r="B262" s="25" t="s">
        <v>270</v>
      </c>
      <c r="C262" s="25" t="s">
        <v>28</v>
      </c>
      <c r="D262" s="25" t="s">
        <v>24</v>
      </c>
      <c r="E262" s="25"/>
      <c r="F262" s="25"/>
      <c r="G262" s="132"/>
      <c r="H262" s="132">
        <f>H263+H265</f>
        <v>0</v>
      </c>
      <c r="I262" s="132">
        <f>I263+I265</f>
        <v>31353.699999999997</v>
      </c>
      <c r="J262" s="488">
        <f>J263+J265</f>
        <v>510</v>
      </c>
      <c r="K262" s="488">
        <f>K265+K263</f>
        <v>110</v>
      </c>
      <c r="L262" s="488">
        <f>L265+L263</f>
        <v>620</v>
      </c>
      <c r="M262" s="133">
        <f>M265+M263</f>
        <v>0</v>
      </c>
      <c r="N262" s="43">
        <f>N265+N263</f>
        <v>620</v>
      </c>
    </row>
    <row r="263" spans="1:18" ht="75">
      <c r="A263" s="110" t="s">
        <v>311</v>
      </c>
      <c r="B263" s="127" t="s">
        <v>270</v>
      </c>
      <c r="C263" s="127" t="s">
        <v>28</v>
      </c>
      <c r="D263" s="127" t="s">
        <v>24</v>
      </c>
      <c r="E263" s="127" t="s">
        <v>312</v>
      </c>
      <c r="F263" s="127"/>
      <c r="G263" s="134"/>
      <c r="H263" s="134">
        <f t="shared" ref="H263:N263" si="79">H264</f>
        <v>0</v>
      </c>
      <c r="I263" s="134">
        <f t="shared" si="79"/>
        <v>23145.3</v>
      </c>
      <c r="J263" s="627">
        <f t="shared" si="79"/>
        <v>510</v>
      </c>
      <c r="K263" s="627">
        <f t="shared" si="79"/>
        <v>110</v>
      </c>
      <c r="L263" s="627">
        <f t="shared" si="79"/>
        <v>620</v>
      </c>
      <c r="M263" s="133">
        <f t="shared" si="79"/>
        <v>0</v>
      </c>
      <c r="N263" s="43">
        <f t="shared" si="79"/>
        <v>620</v>
      </c>
    </row>
    <row r="264" spans="1:18">
      <c r="A264" s="110" t="s">
        <v>6</v>
      </c>
      <c r="B264" s="127" t="s">
        <v>270</v>
      </c>
      <c r="C264" s="127" t="s">
        <v>28</v>
      </c>
      <c r="D264" s="127" t="s">
        <v>24</v>
      </c>
      <c r="E264" s="127" t="s">
        <v>312</v>
      </c>
      <c r="F264" s="127" t="s">
        <v>313</v>
      </c>
      <c r="G264" s="134"/>
      <c r="H264" s="134"/>
      <c r="I264" s="134">
        <v>23145.3</v>
      </c>
      <c r="J264" s="627">
        <v>510</v>
      </c>
      <c r="K264" s="627">
        <f>70+40</f>
        <v>110</v>
      </c>
      <c r="L264" s="627">
        <f>J264+K264</f>
        <v>620</v>
      </c>
      <c r="M264" s="133"/>
      <c r="N264" s="58">
        <f>L264+M264</f>
        <v>620</v>
      </c>
      <c r="O264" s="11">
        <v>350</v>
      </c>
    </row>
    <row r="265" spans="1:18" ht="72.75" hidden="1" customHeight="1">
      <c r="A265" s="135" t="s">
        <v>314</v>
      </c>
      <c r="B265" s="136" t="s">
        <v>270</v>
      </c>
      <c r="C265" s="136" t="s">
        <v>28</v>
      </c>
      <c r="D265" s="136" t="s">
        <v>21</v>
      </c>
      <c r="E265" s="136" t="s">
        <v>315</v>
      </c>
      <c r="F265" s="136"/>
      <c r="G265" s="137"/>
      <c r="H265" s="137">
        <f t="shared" ref="H265:N265" si="80">H266</f>
        <v>0</v>
      </c>
      <c r="I265" s="137">
        <f t="shared" si="80"/>
        <v>8208.4</v>
      </c>
      <c r="J265" s="631">
        <f t="shared" si="80"/>
        <v>0</v>
      </c>
      <c r="K265" s="631">
        <f t="shared" si="80"/>
        <v>0</v>
      </c>
      <c r="L265" s="631">
        <f t="shared" si="80"/>
        <v>0</v>
      </c>
      <c r="M265" s="42">
        <f t="shared" si="80"/>
        <v>0</v>
      </c>
      <c r="N265" s="43">
        <f t="shared" si="80"/>
        <v>0</v>
      </c>
    </row>
    <row r="266" spans="1:18" ht="15.75" hidden="1" customHeight="1">
      <c r="A266" s="135" t="s">
        <v>316</v>
      </c>
      <c r="B266" s="136" t="s">
        <v>270</v>
      </c>
      <c r="C266" s="136" t="s">
        <v>28</v>
      </c>
      <c r="D266" s="136" t="s">
        <v>21</v>
      </c>
      <c r="E266" s="136" t="s">
        <v>317</v>
      </c>
      <c r="F266" s="136" t="s">
        <v>305</v>
      </c>
      <c r="G266" s="137"/>
      <c r="H266" s="137"/>
      <c r="I266" s="137">
        <v>8208.4</v>
      </c>
      <c r="J266" s="631"/>
      <c r="K266" s="631"/>
      <c r="L266" s="631">
        <f>J266+K266</f>
        <v>0</v>
      </c>
      <c r="M266" s="28"/>
      <c r="N266" s="58">
        <f>L266+M266</f>
        <v>0</v>
      </c>
    </row>
    <row r="267" spans="1:18">
      <c r="A267" s="138" t="s">
        <v>63</v>
      </c>
      <c r="B267" s="34" t="s">
        <v>270</v>
      </c>
      <c r="C267" s="34" t="s">
        <v>32</v>
      </c>
      <c r="D267" s="34"/>
      <c r="E267" s="34"/>
      <c r="F267" s="34"/>
      <c r="G267" s="585">
        <f t="shared" ref="G267:N270" si="81">G268</f>
        <v>-54.4</v>
      </c>
      <c r="H267" s="585">
        <f t="shared" si="81"/>
        <v>44.5</v>
      </c>
      <c r="I267" s="585">
        <f t="shared" si="81"/>
        <v>0</v>
      </c>
      <c r="J267" s="379">
        <f t="shared" si="81"/>
        <v>157.19999999999999</v>
      </c>
      <c r="K267" s="379">
        <f t="shared" si="81"/>
        <v>-41.6</v>
      </c>
      <c r="L267" s="379">
        <f t="shared" si="81"/>
        <v>115.6</v>
      </c>
      <c r="M267" s="40">
        <f t="shared" si="81"/>
        <v>0</v>
      </c>
      <c r="N267" s="41">
        <f t="shared" si="81"/>
        <v>26945.319</v>
      </c>
    </row>
    <row r="268" spans="1:18" s="113" customFormat="1" ht="28.5">
      <c r="A268" s="112" t="s">
        <v>318</v>
      </c>
      <c r="B268" s="25" t="s">
        <v>270</v>
      </c>
      <c r="C268" s="25" t="s">
        <v>32</v>
      </c>
      <c r="D268" s="25" t="s">
        <v>28</v>
      </c>
      <c r="E268" s="25"/>
      <c r="F268" s="25"/>
      <c r="G268" s="207">
        <f>G269+G284</f>
        <v>-54.4</v>
      </c>
      <c r="H268" s="207">
        <f>H269+H284</f>
        <v>44.5</v>
      </c>
      <c r="I268" s="207">
        <f>I269+I284</f>
        <v>0</v>
      </c>
      <c r="J268" s="488">
        <f>J269+J272</f>
        <v>157.19999999999999</v>
      </c>
      <c r="K268" s="488">
        <f>K269+K272</f>
        <v>-41.6</v>
      </c>
      <c r="L268" s="488">
        <f>L269+L272</f>
        <v>115.6</v>
      </c>
      <c r="M268" s="70">
        <f>M269+M284</f>
        <v>0</v>
      </c>
      <c r="N268" s="122">
        <f>N269+N284</f>
        <v>26945.319</v>
      </c>
    </row>
    <row r="269" spans="1:18" ht="30">
      <c r="A269" s="111" t="s">
        <v>128</v>
      </c>
      <c r="B269" s="26" t="s">
        <v>270</v>
      </c>
      <c r="C269" s="26" t="s">
        <v>32</v>
      </c>
      <c r="D269" s="26" t="s">
        <v>28</v>
      </c>
      <c r="E269" s="26" t="s">
        <v>129</v>
      </c>
      <c r="F269" s="26"/>
      <c r="G269" s="147">
        <f t="shared" si="81"/>
        <v>-54.4</v>
      </c>
      <c r="H269" s="147">
        <f t="shared" si="81"/>
        <v>44.5</v>
      </c>
      <c r="I269" s="147">
        <f t="shared" si="81"/>
        <v>0</v>
      </c>
      <c r="J269" s="627">
        <f t="shared" si="81"/>
        <v>41.6</v>
      </c>
      <c r="K269" s="627">
        <f t="shared" si="81"/>
        <v>-41.6</v>
      </c>
      <c r="L269" s="627">
        <f t="shared" si="81"/>
        <v>0</v>
      </c>
      <c r="M269" s="42">
        <f t="shared" si="81"/>
        <v>0</v>
      </c>
      <c r="N269" s="43">
        <f t="shared" si="81"/>
        <v>0</v>
      </c>
    </row>
    <row r="270" spans="1:18" ht="30">
      <c r="A270" s="139" t="s">
        <v>145</v>
      </c>
      <c r="B270" s="26" t="s">
        <v>270</v>
      </c>
      <c r="C270" s="26" t="s">
        <v>32</v>
      </c>
      <c r="D270" s="26" t="s">
        <v>28</v>
      </c>
      <c r="E270" s="26" t="s">
        <v>131</v>
      </c>
      <c r="F270" s="26"/>
      <c r="G270" s="147">
        <f t="shared" si="81"/>
        <v>-54.4</v>
      </c>
      <c r="H270" s="147">
        <f t="shared" si="81"/>
        <v>44.5</v>
      </c>
      <c r="I270" s="147">
        <f t="shared" si="81"/>
        <v>0</v>
      </c>
      <c r="J270" s="627">
        <f t="shared" si="81"/>
        <v>41.6</v>
      </c>
      <c r="K270" s="627">
        <f t="shared" si="81"/>
        <v>-41.6</v>
      </c>
      <c r="L270" s="627">
        <f t="shared" si="81"/>
        <v>0</v>
      </c>
      <c r="M270" s="42">
        <f t="shared" si="81"/>
        <v>0</v>
      </c>
      <c r="N270" s="43">
        <f t="shared" si="81"/>
        <v>0</v>
      </c>
    </row>
    <row r="271" spans="1:18" ht="30">
      <c r="A271" s="111" t="s">
        <v>141</v>
      </c>
      <c r="B271" s="26" t="s">
        <v>270</v>
      </c>
      <c r="C271" s="26" t="s">
        <v>32</v>
      </c>
      <c r="D271" s="26" t="s">
        <v>28</v>
      </c>
      <c r="E271" s="26" t="s">
        <v>131</v>
      </c>
      <c r="F271" s="26" t="s">
        <v>133</v>
      </c>
      <c r="G271" s="147">
        <f>-54.4</f>
        <v>-54.4</v>
      </c>
      <c r="H271" s="589">
        <v>44.5</v>
      </c>
      <c r="I271" s="147"/>
      <c r="J271" s="627">
        <v>41.6</v>
      </c>
      <c r="K271" s="627">
        <v>-41.6</v>
      </c>
      <c r="L271" s="627">
        <f>J271+K271</f>
        <v>0</v>
      </c>
      <c r="M271" s="42"/>
      <c r="N271" s="30">
        <f>L271+M271</f>
        <v>0</v>
      </c>
      <c r="O271" s="56">
        <v>41.6</v>
      </c>
      <c r="P271" s="140">
        <f>L271-O271</f>
        <v>-41.6</v>
      </c>
      <c r="R271" s="11" t="s">
        <v>319</v>
      </c>
    </row>
    <row r="272" spans="1:18" ht="27" customHeight="1">
      <c r="A272" s="110" t="s">
        <v>311</v>
      </c>
      <c r="B272" s="26" t="s">
        <v>270</v>
      </c>
      <c r="C272" s="26" t="s">
        <v>32</v>
      </c>
      <c r="D272" s="26" t="s">
        <v>28</v>
      </c>
      <c r="E272" s="26" t="s">
        <v>312</v>
      </c>
      <c r="F272" s="26"/>
      <c r="G272" s="147">
        <f t="shared" ref="G272:N272" si="82">G273</f>
        <v>0</v>
      </c>
      <c r="H272" s="147">
        <f t="shared" si="82"/>
        <v>3469.8</v>
      </c>
      <c r="I272" s="147">
        <f t="shared" si="82"/>
        <v>0</v>
      </c>
      <c r="J272" s="627">
        <f t="shared" si="82"/>
        <v>115.6</v>
      </c>
      <c r="K272" s="627">
        <f t="shared" si="82"/>
        <v>0</v>
      </c>
      <c r="L272" s="627">
        <f t="shared" si="82"/>
        <v>115.6</v>
      </c>
      <c r="M272" s="42">
        <f t="shared" si="82"/>
        <v>0</v>
      </c>
      <c r="N272" s="43">
        <f t="shared" si="82"/>
        <v>115.6</v>
      </c>
    </row>
    <row r="273" spans="1:16">
      <c r="A273" s="110" t="s">
        <v>6</v>
      </c>
      <c r="B273" s="26" t="s">
        <v>270</v>
      </c>
      <c r="C273" s="26" t="s">
        <v>32</v>
      </c>
      <c r="D273" s="26" t="s">
        <v>28</v>
      </c>
      <c r="E273" s="26" t="s">
        <v>312</v>
      </c>
      <c r="F273" s="26" t="s">
        <v>313</v>
      </c>
      <c r="G273" s="147"/>
      <c r="H273" s="589">
        <v>3469.8</v>
      </c>
      <c r="I273" s="147"/>
      <c r="J273" s="627">
        <f>115.6</f>
        <v>115.6</v>
      </c>
      <c r="K273" s="627"/>
      <c r="L273" s="627">
        <f>J273+K273</f>
        <v>115.6</v>
      </c>
      <c r="M273" s="42"/>
      <c r="N273" s="30">
        <f>L273+M273</f>
        <v>115.6</v>
      </c>
    </row>
    <row r="274" spans="1:16">
      <c r="A274" s="141" t="s">
        <v>320</v>
      </c>
      <c r="B274" s="128" t="s">
        <v>270</v>
      </c>
      <c r="C274" s="128" t="s">
        <v>53</v>
      </c>
      <c r="D274" s="128"/>
      <c r="E274" s="128"/>
      <c r="F274" s="128"/>
      <c r="G274" s="604"/>
      <c r="H274" s="605"/>
      <c r="I274" s="604"/>
      <c r="J274" s="381">
        <f t="shared" ref="J274:L276" si="83">J275</f>
        <v>476.38</v>
      </c>
      <c r="K274" s="381">
        <f t="shared" si="83"/>
        <v>0</v>
      </c>
      <c r="L274" s="381">
        <f t="shared" si="83"/>
        <v>476.38</v>
      </c>
      <c r="M274" s="42"/>
      <c r="N274" s="30"/>
      <c r="O274" s="56"/>
      <c r="P274" s="45"/>
    </row>
    <row r="275" spans="1:16">
      <c r="A275" s="109" t="s">
        <v>72</v>
      </c>
      <c r="B275" s="25" t="s">
        <v>270</v>
      </c>
      <c r="C275" s="25" t="s">
        <v>53</v>
      </c>
      <c r="D275" s="25" t="s">
        <v>21</v>
      </c>
      <c r="E275" s="25"/>
      <c r="F275" s="25"/>
      <c r="G275" s="565"/>
      <c r="H275" s="207"/>
      <c r="I275" s="565"/>
      <c r="J275" s="488">
        <f>J276+J278+J280</f>
        <v>476.38</v>
      </c>
      <c r="K275" s="488">
        <f>K276+K278+K280</f>
        <v>0</v>
      </c>
      <c r="L275" s="488">
        <f>L276+L278+L280</f>
        <v>476.38</v>
      </c>
      <c r="M275" s="42"/>
      <c r="N275" s="30"/>
      <c r="O275" s="56"/>
      <c r="P275" s="45"/>
    </row>
    <row r="276" spans="1:16" ht="75">
      <c r="A276" s="110" t="s">
        <v>311</v>
      </c>
      <c r="B276" s="26" t="s">
        <v>270</v>
      </c>
      <c r="C276" s="26" t="s">
        <v>53</v>
      </c>
      <c r="D276" s="26" t="s">
        <v>21</v>
      </c>
      <c r="E276" s="26" t="s">
        <v>312</v>
      </c>
      <c r="F276" s="26"/>
      <c r="G276" s="147"/>
      <c r="H276" s="589"/>
      <c r="I276" s="147"/>
      <c r="J276" s="627">
        <f t="shared" si="83"/>
        <v>476.38</v>
      </c>
      <c r="K276" s="627">
        <f t="shared" si="83"/>
        <v>0</v>
      </c>
      <c r="L276" s="627">
        <f t="shared" si="83"/>
        <v>476.38</v>
      </c>
      <c r="M276" s="42"/>
      <c r="N276" s="30"/>
      <c r="O276" s="56">
        <v>5201500</v>
      </c>
      <c r="P276" s="45"/>
    </row>
    <row r="277" spans="1:16">
      <c r="A277" s="110" t="s">
        <v>6</v>
      </c>
      <c r="B277" s="26" t="s">
        <v>270</v>
      </c>
      <c r="C277" s="26" t="s">
        <v>53</v>
      </c>
      <c r="D277" s="26" t="s">
        <v>21</v>
      </c>
      <c r="E277" s="26" t="s">
        <v>312</v>
      </c>
      <c r="F277" s="26" t="s">
        <v>313</v>
      </c>
      <c r="G277" s="147"/>
      <c r="H277" s="589"/>
      <c r="I277" s="147"/>
      <c r="J277" s="627">
        <f>476.38</f>
        <v>476.38</v>
      </c>
      <c r="K277" s="627"/>
      <c r="L277" s="627">
        <f>J277+K277</f>
        <v>476.38</v>
      </c>
      <c r="M277" s="42"/>
      <c r="N277" s="30"/>
      <c r="O277" s="56"/>
      <c r="P277" s="45"/>
    </row>
    <row r="278" spans="1:16" ht="30" hidden="1">
      <c r="A278" s="143" t="s">
        <v>145</v>
      </c>
      <c r="B278" s="47" t="s">
        <v>270</v>
      </c>
      <c r="C278" s="47" t="s">
        <v>53</v>
      </c>
      <c r="D278" s="47" t="s">
        <v>21</v>
      </c>
      <c r="E278" s="47" t="s">
        <v>321</v>
      </c>
      <c r="F278" s="47"/>
      <c r="G278" s="147"/>
      <c r="H278" s="589"/>
      <c r="I278" s="147"/>
      <c r="J278" s="627">
        <f>J279</f>
        <v>0</v>
      </c>
      <c r="K278" s="627">
        <f>K279</f>
        <v>0</v>
      </c>
      <c r="L278" s="627">
        <f>L279</f>
        <v>0</v>
      </c>
      <c r="M278" s="42"/>
      <c r="N278" s="30"/>
      <c r="O278" s="56"/>
      <c r="P278" s="45">
        <f>K277+K279+K281-150</f>
        <v>-150</v>
      </c>
    </row>
    <row r="279" spans="1:16" ht="30" hidden="1">
      <c r="A279" s="143" t="s">
        <v>141</v>
      </c>
      <c r="B279" s="47" t="s">
        <v>270</v>
      </c>
      <c r="C279" s="47" t="s">
        <v>53</v>
      </c>
      <c r="D279" s="47" t="s">
        <v>21</v>
      </c>
      <c r="E279" s="47" t="s">
        <v>321</v>
      </c>
      <c r="F279" s="47" t="s">
        <v>313</v>
      </c>
      <c r="G279" s="147"/>
      <c r="H279" s="589"/>
      <c r="I279" s="147"/>
      <c r="J279" s="627"/>
      <c r="K279" s="627"/>
      <c r="L279" s="627">
        <f>J279+K279</f>
        <v>0</v>
      </c>
      <c r="M279" s="42"/>
      <c r="N279" s="30"/>
      <c r="O279" s="56"/>
      <c r="P279" s="45"/>
    </row>
    <row r="280" spans="1:16" ht="30" hidden="1">
      <c r="A280" s="143" t="s">
        <v>145</v>
      </c>
      <c r="B280" s="47" t="s">
        <v>270</v>
      </c>
      <c r="C280" s="47" t="s">
        <v>53</v>
      </c>
      <c r="D280" s="47" t="s">
        <v>21</v>
      </c>
      <c r="E280" s="47" t="s">
        <v>322</v>
      </c>
      <c r="F280" s="47"/>
      <c r="G280" s="147"/>
      <c r="H280" s="589"/>
      <c r="I280" s="147"/>
      <c r="J280" s="627">
        <f>J281</f>
        <v>0</v>
      </c>
      <c r="K280" s="627">
        <f>K281</f>
        <v>0</v>
      </c>
      <c r="L280" s="627">
        <f>L281</f>
        <v>0</v>
      </c>
      <c r="M280" s="42"/>
      <c r="N280" s="30"/>
      <c r="O280" s="56"/>
      <c r="P280" s="45"/>
    </row>
    <row r="281" spans="1:16" ht="30" hidden="1">
      <c r="A281" s="143" t="s">
        <v>141</v>
      </c>
      <c r="B281" s="47" t="s">
        <v>270</v>
      </c>
      <c r="C281" s="47" t="s">
        <v>53</v>
      </c>
      <c r="D281" s="47" t="s">
        <v>21</v>
      </c>
      <c r="E281" s="47" t="s">
        <v>322</v>
      </c>
      <c r="F281" s="47" t="s">
        <v>313</v>
      </c>
      <c r="G281" s="147"/>
      <c r="H281" s="589"/>
      <c r="I281" s="147"/>
      <c r="J281" s="627"/>
      <c r="K281" s="627"/>
      <c r="L281" s="627">
        <f>J281+K281</f>
        <v>0</v>
      </c>
      <c r="M281" s="42"/>
      <c r="N281" s="30"/>
      <c r="O281" s="56"/>
      <c r="P281" s="45">
        <f>K277+K279+K281-150</f>
        <v>-150</v>
      </c>
    </row>
    <row r="282" spans="1:16">
      <c r="A282" s="33" t="s">
        <v>136</v>
      </c>
      <c r="B282" s="34" t="s">
        <v>270</v>
      </c>
      <c r="C282" s="34" t="s">
        <v>47</v>
      </c>
      <c r="D282" s="26"/>
      <c r="E282" s="26"/>
      <c r="F282" s="26"/>
      <c r="G282" s="589" t="e">
        <f>G283+G300+G341+G324</f>
        <v>#REF!</v>
      </c>
      <c r="H282" s="589">
        <f>H283+H300+H341+H324</f>
        <v>40695.800000000003</v>
      </c>
      <c r="I282" s="589">
        <f>I283+I300+I341+I324</f>
        <v>0</v>
      </c>
      <c r="J282" s="627">
        <f t="shared" ref="J282:L284" si="84">J283</f>
        <v>26788.959999999999</v>
      </c>
      <c r="K282" s="627">
        <f t="shared" si="84"/>
        <v>156.35900000000001</v>
      </c>
      <c r="L282" s="627">
        <f t="shared" si="84"/>
        <v>26945.319</v>
      </c>
      <c r="M282" s="42"/>
      <c r="N282" s="30"/>
      <c r="O282" s="56"/>
    </row>
    <row r="283" spans="1:16" ht="29.25">
      <c r="A283" s="24" t="s">
        <v>78</v>
      </c>
      <c r="B283" s="25" t="s">
        <v>270</v>
      </c>
      <c r="C283" s="25" t="s">
        <v>47</v>
      </c>
      <c r="D283" s="25" t="s">
        <v>21</v>
      </c>
      <c r="E283" s="26"/>
      <c r="F283" s="26"/>
      <c r="G283" s="587">
        <f>G287+G291+G284</f>
        <v>528</v>
      </c>
      <c r="H283" s="587">
        <f>H287+H291+H284</f>
        <v>38359.800000000003</v>
      </c>
      <c r="I283" s="587">
        <f>I287+I291+I284</f>
        <v>0</v>
      </c>
      <c r="J283" s="379">
        <f t="shared" si="84"/>
        <v>26788.959999999999</v>
      </c>
      <c r="K283" s="379">
        <f t="shared" si="84"/>
        <v>156.35900000000001</v>
      </c>
      <c r="L283" s="379">
        <f t="shared" si="84"/>
        <v>26945.319</v>
      </c>
      <c r="M283" s="42"/>
      <c r="N283" s="30"/>
      <c r="O283" s="56"/>
    </row>
    <row r="284" spans="1:16" ht="58.5" customHeight="1">
      <c r="A284" s="144" t="s">
        <v>157</v>
      </c>
      <c r="B284" s="26" t="s">
        <v>270</v>
      </c>
      <c r="C284" s="26" t="s">
        <v>47</v>
      </c>
      <c r="D284" s="26" t="s">
        <v>21</v>
      </c>
      <c r="E284" s="26" t="s">
        <v>158</v>
      </c>
      <c r="F284" s="26"/>
      <c r="G284" s="147"/>
      <c r="H284" s="589"/>
      <c r="I284" s="147"/>
      <c r="J284" s="627">
        <f t="shared" si="84"/>
        <v>26788.959999999999</v>
      </c>
      <c r="K284" s="627">
        <f t="shared" si="84"/>
        <v>156.35900000000001</v>
      </c>
      <c r="L284" s="627">
        <f t="shared" si="84"/>
        <v>26945.319</v>
      </c>
      <c r="M284" s="29">
        <f>M285</f>
        <v>0</v>
      </c>
      <c r="N284" s="30">
        <f>N285</f>
        <v>26945.319</v>
      </c>
    </row>
    <row r="285" spans="1:16" ht="45.75" customHeight="1">
      <c r="A285" s="144" t="s">
        <v>159</v>
      </c>
      <c r="B285" s="26" t="s">
        <v>270</v>
      </c>
      <c r="C285" s="26" t="s">
        <v>47</v>
      </c>
      <c r="D285" s="26" t="s">
        <v>21</v>
      </c>
      <c r="E285" s="26" t="s">
        <v>158</v>
      </c>
      <c r="F285" s="26" t="s">
        <v>160</v>
      </c>
      <c r="G285" s="147"/>
      <c r="H285" s="589"/>
      <c r="I285" s="147"/>
      <c r="J285" s="627">
        <v>26788.959999999999</v>
      </c>
      <c r="K285" s="627">
        <v>156.35900000000001</v>
      </c>
      <c r="L285" s="627">
        <f>J285+K285</f>
        <v>26945.319</v>
      </c>
      <c r="M285" s="29"/>
      <c r="N285" s="30">
        <f>L285+M285</f>
        <v>26945.319</v>
      </c>
    </row>
    <row r="286" spans="1:16">
      <c r="A286" s="33" t="s">
        <v>82</v>
      </c>
      <c r="B286" s="34" t="s">
        <v>270</v>
      </c>
      <c r="C286" s="34" t="s">
        <v>34</v>
      </c>
      <c r="D286" s="34"/>
      <c r="E286" s="34"/>
      <c r="F286" s="34"/>
      <c r="G286" s="585" t="e">
        <f>G287+G292+G300+G305</f>
        <v>#REF!</v>
      </c>
      <c r="H286" s="585" t="e">
        <f>H287+H292+H300+H305</f>
        <v>#REF!</v>
      </c>
      <c r="I286" s="585" t="e">
        <f>I287+I292+I300+I305</f>
        <v>#REF!</v>
      </c>
      <c r="J286" s="379">
        <f>J287+J292+J300</f>
        <v>68.444000000000003</v>
      </c>
      <c r="K286" s="379">
        <f>K287+K292+K300</f>
        <v>11</v>
      </c>
      <c r="L286" s="379">
        <f>L287+L292+L300</f>
        <v>79.444000000000003</v>
      </c>
      <c r="M286" s="40" t="e">
        <f>M287+M292+M300+M305</f>
        <v>#REF!</v>
      </c>
      <c r="N286" s="41" t="e">
        <f>N287+N292+N300+N305</f>
        <v>#REF!</v>
      </c>
    </row>
    <row r="287" spans="1:16" s="113" customFormat="1" ht="14.25">
      <c r="A287" s="109" t="s">
        <v>323</v>
      </c>
      <c r="B287" s="25" t="s">
        <v>270</v>
      </c>
      <c r="C287" s="25" t="s">
        <v>34</v>
      </c>
      <c r="D287" s="25" t="s">
        <v>21</v>
      </c>
      <c r="E287" s="25"/>
      <c r="F287" s="25"/>
      <c r="G287" s="565">
        <f t="shared" ref="G287:M287" si="85">G288+G290</f>
        <v>264</v>
      </c>
      <c r="H287" s="565">
        <f t="shared" si="85"/>
        <v>20914.8</v>
      </c>
      <c r="I287" s="565">
        <f t="shared" si="85"/>
        <v>0</v>
      </c>
      <c r="J287" s="488">
        <f t="shared" si="85"/>
        <v>68.444000000000003</v>
      </c>
      <c r="K287" s="488">
        <f t="shared" si="85"/>
        <v>11</v>
      </c>
      <c r="L287" s="488">
        <f t="shared" si="85"/>
        <v>79.444000000000003</v>
      </c>
      <c r="M287" s="95">
        <f t="shared" si="85"/>
        <v>8.4</v>
      </c>
      <c r="N287" s="96">
        <f>N288+N290</f>
        <v>87.844000000000008</v>
      </c>
    </row>
    <row r="288" spans="1:16" ht="27" customHeight="1">
      <c r="A288" s="110" t="s">
        <v>311</v>
      </c>
      <c r="B288" s="26" t="s">
        <v>270</v>
      </c>
      <c r="C288" s="26" t="s">
        <v>34</v>
      </c>
      <c r="D288" s="26" t="s">
        <v>21</v>
      </c>
      <c r="E288" s="26" t="s">
        <v>312</v>
      </c>
      <c r="F288" s="26"/>
      <c r="G288" s="147">
        <f t="shared" ref="G288:N288" si="86">G289</f>
        <v>0</v>
      </c>
      <c r="H288" s="147">
        <f t="shared" si="86"/>
        <v>3469.8</v>
      </c>
      <c r="I288" s="147">
        <f t="shared" si="86"/>
        <v>0</v>
      </c>
      <c r="J288" s="627">
        <f t="shared" si="86"/>
        <v>68.444000000000003</v>
      </c>
      <c r="K288" s="627">
        <f t="shared" si="86"/>
        <v>11</v>
      </c>
      <c r="L288" s="627">
        <f t="shared" si="86"/>
        <v>79.444000000000003</v>
      </c>
      <c r="M288" s="42">
        <f t="shared" si="86"/>
        <v>0</v>
      </c>
      <c r="N288" s="43">
        <f t="shared" si="86"/>
        <v>79.444000000000003</v>
      </c>
    </row>
    <row r="289" spans="1:18">
      <c r="A289" s="110" t="s">
        <v>6</v>
      </c>
      <c r="B289" s="26" t="s">
        <v>270</v>
      </c>
      <c r="C289" s="26" t="s">
        <v>34</v>
      </c>
      <c r="D289" s="26" t="s">
        <v>21</v>
      </c>
      <c r="E289" s="26" t="s">
        <v>312</v>
      </c>
      <c r="F289" s="26" t="s">
        <v>313</v>
      </c>
      <c r="G289" s="147"/>
      <c r="H289" s="589">
        <v>3469.8</v>
      </c>
      <c r="I289" s="147"/>
      <c r="J289" s="627">
        <v>68.444000000000003</v>
      </c>
      <c r="K289" s="627">
        <v>11</v>
      </c>
      <c r="L289" s="627">
        <f>J289+K289</f>
        <v>79.444000000000003</v>
      </c>
      <c r="M289" s="42"/>
      <c r="N289" s="30">
        <f>L289+M289</f>
        <v>79.444000000000003</v>
      </c>
    </row>
    <row r="290" spans="1:18" ht="45" hidden="1">
      <c r="A290" s="111" t="s">
        <v>324</v>
      </c>
      <c r="B290" s="26" t="s">
        <v>270</v>
      </c>
      <c r="C290" s="26" t="s">
        <v>34</v>
      </c>
      <c r="D290" s="26" t="s">
        <v>21</v>
      </c>
      <c r="E290" s="26" t="s">
        <v>325</v>
      </c>
      <c r="F290" s="26"/>
      <c r="G290" s="147">
        <f t="shared" ref="G290:N290" si="87">G291</f>
        <v>264</v>
      </c>
      <c r="H290" s="147">
        <f t="shared" si="87"/>
        <v>17445</v>
      </c>
      <c r="I290" s="147">
        <f t="shared" si="87"/>
        <v>0</v>
      </c>
      <c r="J290" s="627">
        <f t="shared" si="87"/>
        <v>0</v>
      </c>
      <c r="K290" s="627">
        <f t="shared" si="87"/>
        <v>0</v>
      </c>
      <c r="L290" s="627">
        <f t="shared" si="87"/>
        <v>0</v>
      </c>
      <c r="M290" s="42">
        <f t="shared" si="87"/>
        <v>8.4</v>
      </c>
      <c r="N290" s="43">
        <f t="shared" si="87"/>
        <v>8.4</v>
      </c>
    </row>
    <row r="291" spans="1:18" hidden="1">
      <c r="A291" s="111" t="s">
        <v>326</v>
      </c>
      <c r="B291" s="26" t="s">
        <v>270</v>
      </c>
      <c r="C291" s="26" t="s">
        <v>34</v>
      </c>
      <c r="D291" s="26" t="s">
        <v>21</v>
      </c>
      <c r="E291" s="26" t="s">
        <v>325</v>
      </c>
      <c r="F291" s="26" t="s">
        <v>327</v>
      </c>
      <c r="G291" s="147">
        <v>264</v>
      </c>
      <c r="H291" s="589">
        <v>17445</v>
      </c>
      <c r="I291" s="147"/>
      <c r="J291" s="627"/>
      <c r="K291" s="627"/>
      <c r="L291" s="627">
        <f>J291+K291</f>
        <v>0</v>
      </c>
      <c r="M291" s="42">
        <f>8.4</f>
        <v>8.4</v>
      </c>
      <c r="N291" s="30">
        <f>L291+M291</f>
        <v>8.4</v>
      </c>
      <c r="O291" s="56"/>
    </row>
    <row r="292" spans="1:18" s="113" customFormat="1" ht="57" hidden="1">
      <c r="A292" s="145" t="s">
        <v>328</v>
      </c>
      <c r="B292" s="25" t="s">
        <v>270</v>
      </c>
      <c r="C292" s="25" t="s">
        <v>34</v>
      </c>
      <c r="D292" s="25" t="s">
        <v>22</v>
      </c>
      <c r="E292" s="25"/>
      <c r="F292" s="25"/>
      <c r="G292" s="565">
        <f t="shared" ref="G292:N292" si="88">G293</f>
        <v>0</v>
      </c>
      <c r="H292" s="565">
        <f t="shared" si="88"/>
        <v>9363.7999999999993</v>
      </c>
      <c r="I292" s="565">
        <f t="shared" si="88"/>
        <v>0</v>
      </c>
      <c r="J292" s="488">
        <f t="shared" si="88"/>
        <v>0</v>
      </c>
      <c r="K292" s="488">
        <f>K293</f>
        <v>0</v>
      </c>
      <c r="L292" s="488">
        <f t="shared" si="88"/>
        <v>0</v>
      </c>
      <c r="M292" s="95">
        <f t="shared" si="88"/>
        <v>-768</v>
      </c>
      <c r="N292" s="96">
        <f t="shared" si="88"/>
        <v>-768</v>
      </c>
    </row>
    <row r="293" spans="1:18" ht="105" hidden="1">
      <c r="A293" s="144" t="s">
        <v>329</v>
      </c>
      <c r="B293" s="26" t="s">
        <v>270</v>
      </c>
      <c r="C293" s="26" t="s">
        <v>34</v>
      </c>
      <c r="D293" s="26" t="s">
        <v>22</v>
      </c>
      <c r="E293" s="26" t="s">
        <v>330</v>
      </c>
      <c r="F293" s="26"/>
      <c r="G293" s="147">
        <f t="shared" ref="G293:M293" si="89">G296+G298+G294</f>
        <v>0</v>
      </c>
      <c r="H293" s="147">
        <f t="shared" si="89"/>
        <v>9363.7999999999993</v>
      </c>
      <c r="I293" s="147">
        <f t="shared" si="89"/>
        <v>0</v>
      </c>
      <c r="J293" s="627">
        <f t="shared" si="89"/>
        <v>0</v>
      </c>
      <c r="K293" s="627">
        <f t="shared" si="89"/>
        <v>0</v>
      </c>
      <c r="L293" s="627">
        <f t="shared" si="89"/>
        <v>0</v>
      </c>
      <c r="M293" s="42">
        <f t="shared" si="89"/>
        <v>-768</v>
      </c>
      <c r="N293" s="43">
        <f>N296+N298+N294</f>
        <v>-768</v>
      </c>
    </row>
    <row r="294" spans="1:18" ht="48" hidden="1" customHeight="1">
      <c r="A294" s="144" t="s">
        <v>331</v>
      </c>
      <c r="B294" s="26" t="s">
        <v>270</v>
      </c>
      <c r="C294" s="26" t="s">
        <v>34</v>
      </c>
      <c r="D294" s="26" t="s">
        <v>22</v>
      </c>
      <c r="E294" s="26" t="s">
        <v>332</v>
      </c>
      <c r="F294" s="26"/>
      <c r="G294" s="147">
        <f t="shared" ref="G294:N294" si="90">G295</f>
        <v>0</v>
      </c>
      <c r="H294" s="147">
        <f t="shared" si="90"/>
        <v>4300</v>
      </c>
      <c r="I294" s="147">
        <f t="shared" si="90"/>
        <v>0</v>
      </c>
      <c r="J294" s="627">
        <f t="shared" si="90"/>
        <v>0</v>
      </c>
      <c r="K294" s="627">
        <f>K295</f>
        <v>0</v>
      </c>
      <c r="L294" s="627">
        <f t="shared" si="90"/>
        <v>0</v>
      </c>
      <c r="M294" s="42">
        <f t="shared" si="90"/>
        <v>-768</v>
      </c>
      <c r="N294" s="43">
        <f t="shared" si="90"/>
        <v>-768</v>
      </c>
    </row>
    <row r="295" spans="1:18" ht="33" hidden="1" customHeight="1">
      <c r="A295" s="144" t="s">
        <v>333</v>
      </c>
      <c r="B295" s="26" t="s">
        <v>270</v>
      </c>
      <c r="C295" s="26" t="s">
        <v>34</v>
      </c>
      <c r="D295" s="26" t="s">
        <v>22</v>
      </c>
      <c r="E295" s="26" t="s">
        <v>332</v>
      </c>
      <c r="F295" s="26" t="s">
        <v>334</v>
      </c>
      <c r="G295" s="147"/>
      <c r="H295" s="589">
        <v>4300</v>
      </c>
      <c r="I295" s="147"/>
      <c r="J295" s="627"/>
      <c r="K295" s="627"/>
      <c r="L295" s="627">
        <f>J295+K295</f>
        <v>0</v>
      </c>
      <c r="M295" s="42">
        <f>-768</f>
        <v>-768</v>
      </c>
      <c r="N295" s="30">
        <f>L295+M295</f>
        <v>-768</v>
      </c>
      <c r="O295" s="44"/>
    </row>
    <row r="296" spans="1:18" ht="18.75" hidden="1" customHeight="1">
      <c r="A296" s="144" t="s">
        <v>335</v>
      </c>
      <c r="B296" s="26" t="s">
        <v>270</v>
      </c>
      <c r="C296" s="26" t="s">
        <v>34</v>
      </c>
      <c r="D296" s="26" t="s">
        <v>22</v>
      </c>
      <c r="E296" s="26" t="s">
        <v>336</v>
      </c>
      <c r="F296" s="26"/>
      <c r="G296" s="147">
        <f t="shared" ref="G296:N296" si="91">G297</f>
        <v>0</v>
      </c>
      <c r="H296" s="147">
        <f t="shared" si="91"/>
        <v>3301.5</v>
      </c>
      <c r="I296" s="147">
        <f t="shared" si="91"/>
        <v>0</v>
      </c>
      <c r="J296" s="627">
        <f t="shared" si="91"/>
        <v>0</v>
      </c>
      <c r="K296" s="627">
        <f t="shared" si="91"/>
        <v>0</v>
      </c>
      <c r="L296" s="627">
        <f t="shared" si="91"/>
        <v>0</v>
      </c>
      <c r="M296" s="42">
        <f t="shared" si="91"/>
        <v>0</v>
      </c>
      <c r="N296" s="43">
        <f t="shared" si="91"/>
        <v>0</v>
      </c>
    </row>
    <row r="297" spans="1:18" ht="23.25" hidden="1" customHeight="1">
      <c r="A297" s="144" t="s">
        <v>333</v>
      </c>
      <c r="B297" s="26" t="s">
        <v>270</v>
      </c>
      <c r="C297" s="26" t="s">
        <v>34</v>
      </c>
      <c r="D297" s="26" t="s">
        <v>22</v>
      </c>
      <c r="E297" s="26" t="s">
        <v>336</v>
      </c>
      <c r="F297" s="26" t="s">
        <v>334</v>
      </c>
      <c r="G297" s="147"/>
      <c r="H297" s="67">
        <v>3301.5</v>
      </c>
      <c r="I297" s="67"/>
      <c r="J297" s="627"/>
      <c r="K297" s="627"/>
      <c r="L297" s="627">
        <f>J297+K297</f>
        <v>0</v>
      </c>
      <c r="M297" s="42"/>
      <c r="N297" s="30">
        <f>L297+M297</f>
        <v>0</v>
      </c>
    </row>
    <row r="298" spans="1:18" ht="75" hidden="1">
      <c r="A298" s="144" t="s">
        <v>337</v>
      </c>
      <c r="B298" s="26" t="s">
        <v>270</v>
      </c>
      <c r="C298" s="26" t="s">
        <v>34</v>
      </c>
      <c r="D298" s="26" t="s">
        <v>22</v>
      </c>
      <c r="E298" s="26" t="s">
        <v>338</v>
      </c>
      <c r="F298" s="26"/>
      <c r="G298" s="147">
        <f t="shared" ref="G298:N298" si="92">G299</f>
        <v>0</v>
      </c>
      <c r="H298" s="147">
        <f t="shared" si="92"/>
        <v>1762.3</v>
      </c>
      <c r="I298" s="147">
        <f t="shared" si="92"/>
        <v>0</v>
      </c>
      <c r="J298" s="627">
        <f t="shared" si="92"/>
        <v>0</v>
      </c>
      <c r="K298" s="627">
        <f t="shared" si="92"/>
        <v>0</v>
      </c>
      <c r="L298" s="627">
        <f t="shared" si="92"/>
        <v>0</v>
      </c>
      <c r="M298" s="42">
        <f t="shared" si="92"/>
        <v>0</v>
      </c>
      <c r="N298" s="43">
        <f t="shared" si="92"/>
        <v>0</v>
      </c>
    </row>
    <row r="299" spans="1:18" hidden="1">
      <c r="A299" s="144" t="s">
        <v>333</v>
      </c>
      <c r="B299" s="26" t="s">
        <v>270</v>
      </c>
      <c r="C299" s="26" t="s">
        <v>34</v>
      </c>
      <c r="D299" s="26" t="s">
        <v>22</v>
      </c>
      <c r="E299" s="26" t="s">
        <v>338</v>
      </c>
      <c r="F299" s="26" t="s">
        <v>334</v>
      </c>
      <c r="G299" s="147"/>
      <c r="H299" s="67">
        <v>1762.3</v>
      </c>
      <c r="I299" s="67"/>
      <c r="J299" s="627"/>
      <c r="K299" s="627"/>
      <c r="L299" s="627">
        <f>J299+K299</f>
        <v>0</v>
      </c>
      <c r="M299" s="42"/>
      <c r="N299" s="30">
        <f>L299+M299</f>
        <v>0</v>
      </c>
    </row>
    <row r="300" spans="1:18" s="113" customFormat="1" ht="42.75" hidden="1">
      <c r="A300" s="145" t="s">
        <v>339</v>
      </c>
      <c r="B300" s="25" t="s">
        <v>270</v>
      </c>
      <c r="C300" s="25" t="s">
        <v>34</v>
      </c>
      <c r="D300" s="25" t="s">
        <v>24</v>
      </c>
      <c r="E300" s="25"/>
      <c r="F300" s="25"/>
      <c r="G300" s="565">
        <f t="shared" ref="G300:N301" si="93">G301</f>
        <v>42.8</v>
      </c>
      <c r="H300" s="565">
        <f t="shared" si="93"/>
        <v>573.70000000000005</v>
      </c>
      <c r="I300" s="565">
        <f t="shared" si="93"/>
        <v>0</v>
      </c>
      <c r="J300" s="488">
        <f t="shared" si="93"/>
        <v>0</v>
      </c>
      <c r="K300" s="488">
        <f t="shared" si="93"/>
        <v>0</v>
      </c>
      <c r="L300" s="488">
        <f t="shared" si="93"/>
        <v>0</v>
      </c>
      <c r="M300" s="95">
        <f t="shared" si="93"/>
        <v>0</v>
      </c>
      <c r="N300" s="96">
        <f t="shared" si="93"/>
        <v>0</v>
      </c>
      <c r="R300" s="146"/>
    </row>
    <row r="301" spans="1:18" ht="24.75" hidden="1" customHeight="1">
      <c r="A301" s="144" t="s">
        <v>340</v>
      </c>
      <c r="B301" s="26" t="s">
        <v>270</v>
      </c>
      <c r="C301" s="26" t="s">
        <v>34</v>
      </c>
      <c r="D301" s="26" t="s">
        <v>24</v>
      </c>
      <c r="E301" s="26" t="s">
        <v>295</v>
      </c>
      <c r="F301" s="26"/>
      <c r="G301" s="147">
        <f t="shared" si="93"/>
        <v>42.8</v>
      </c>
      <c r="H301" s="147">
        <f t="shared" si="93"/>
        <v>573.70000000000005</v>
      </c>
      <c r="I301" s="147">
        <f t="shared" si="93"/>
        <v>0</v>
      </c>
      <c r="J301" s="627">
        <f t="shared" si="93"/>
        <v>0</v>
      </c>
      <c r="K301" s="627">
        <f t="shared" si="93"/>
        <v>0</v>
      </c>
      <c r="L301" s="627">
        <f t="shared" si="93"/>
        <v>0</v>
      </c>
      <c r="M301" s="42">
        <f t="shared" si="93"/>
        <v>0</v>
      </c>
      <c r="N301" s="43">
        <f t="shared" si="93"/>
        <v>0</v>
      </c>
    </row>
    <row r="302" spans="1:18" ht="23.25" hidden="1" customHeight="1" thickBot="1">
      <c r="A302" s="144" t="s">
        <v>341</v>
      </c>
      <c r="B302" s="26" t="s">
        <v>270</v>
      </c>
      <c r="C302" s="26" t="s">
        <v>34</v>
      </c>
      <c r="D302" s="26" t="s">
        <v>24</v>
      </c>
      <c r="E302" s="26" t="s">
        <v>295</v>
      </c>
      <c r="F302" s="26" t="s">
        <v>297</v>
      </c>
      <c r="G302" s="147">
        <v>42.8</v>
      </c>
      <c r="H302" s="147">
        <v>573.70000000000005</v>
      </c>
      <c r="I302" s="147"/>
      <c r="J302" s="627"/>
      <c r="K302" s="627"/>
      <c r="L302" s="627">
        <f>J302+K302</f>
        <v>0</v>
      </c>
      <c r="M302" s="83"/>
      <c r="N302" s="49">
        <f>L302+M302</f>
        <v>0</v>
      </c>
      <c r="P302" s="15">
        <f>K302</f>
        <v>0</v>
      </c>
    </row>
    <row r="303" spans="1:18" ht="29.25">
      <c r="A303" s="148" t="s">
        <v>33</v>
      </c>
      <c r="B303" s="128" t="s">
        <v>270</v>
      </c>
      <c r="C303" s="128" t="s">
        <v>37</v>
      </c>
      <c r="D303" s="128"/>
      <c r="E303" s="149"/>
      <c r="F303" s="149"/>
      <c r="G303" s="606" t="e">
        <f>#REF!</f>
        <v>#REF!</v>
      </c>
      <c r="H303" s="607" t="e">
        <f>#REF!+H305</f>
        <v>#REF!</v>
      </c>
      <c r="I303" s="607" t="e">
        <f>#REF!+I305</f>
        <v>#REF!</v>
      </c>
      <c r="J303" s="381">
        <f>J305</f>
        <v>162.07</v>
      </c>
      <c r="K303" s="381">
        <f>K305</f>
        <v>0</v>
      </c>
      <c r="L303" s="381">
        <f>L305</f>
        <v>162.07</v>
      </c>
      <c r="M303" s="150"/>
      <c r="N303" s="49"/>
    </row>
    <row r="304" spans="1:18" ht="43.5">
      <c r="A304" s="145" t="s">
        <v>102</v>
      </c>
      <c r="B304" s="25" t="s">
        <v>270</v>
      </c>
      <c r="C304" s="25" t="s">
        <v>37</v>
      </c>
      <c r="D304" s="25" t="s">
        <v>21</v>
      </c>
      <c r="E304" s="26"/>
      <c r="F304" s="26"/>
      <c r="G304" s="147"/>
      <c r="H304" s="589"/>
      <c r="I304" s="589"/>
      <c r="J304" s="488">
        <f t="shared" ref="J304:L305" si="94">J305</f>
        <v>162.07</v>
      </c>
      <c r="K304" s="488">
        <f t="shared" si="94"/>
        <v>0</v>
      </c>
      <c r="L304" s="488">
        <f t="shared" si="94"/>
        <v>162.07</v>
      </c>
      <c r="M304" s="150"/>
      <c r="N304" s="49"/>
    </row>
    <row r="305" spans="1:16" ht="26.25" customHeight="1">
      <c r="A305" s="111" t="s">
        <v>283</v>
      </c>
      <c r="B305" s="26" t="s">
        <v>270</v>
      </c>
      <c r="C305" s="26" t="s">
        <v>37</v>
      </c>
      <c r="D305" s="26" t="s">
        <v>21</v>
      </c>
      <c r="E305" s="26" t="s">
        <v>284</v>
      </c>
      <c r="F305" s="26"/>
      <c r="G305" s="147" t="e">
        <f>#REF!</f>
        <v>#REF!</v>
      </c>
      <c r="H305" s="589" t="e">
        <f>#REF!+H306</f>
        <v>#REF!</v>
      </c>
      <c r="I305" s="589" t="e">
        <f>#REF!+I306</f>
        <v>#REF!</v>
      </c>
      <c r="J305" s="627">
        <f t="shared" si="94"/>
        <v>162.07</v>
      </c>
      <c r="K305" s="627">
        <f t="shared" si="94"/>
        <v>0</v>
      </c>
      <c r="L305" s="627">
        <f t="shared" si="94"/>
        <v>162.07</v>
      </c>
      <c r="M305" s="151" t="e">
        <f>#REF!+M306</f>
        <v>#REF!</v>
      </c>
      <c r="N305" s="30" t="e">
        <f>#REF!+N306</f>
        <v>#REF!</v>
      </c>
    </row>
    <row r="306" spans="1:16" ht="29.25" customHeight="1">
      <c r="A306" s="111" t="s">
        <v>285</v>
      </c>
      <c r="B306" s="26" t="s">
        <v>270</v>
      </c>
      <c r="C306" s="26" t="s">
        <v>37</v>
      </c>
      <c r="D306" s="26" t="s">
        <v>21</v>
      </c>
      <c r="E306" s="26" t="s">
        <v>286</v>
      </c>
      <c r="F306" s="26"/>
      <c r="G306" s="147"/>
      <c r="H306" s="589">
        <f t="shared" ref="H306:N306" si="95">H307</f>
        <v>0</v>
      </c>
      <c r="I306" s="589">
        <f t="shared" si="95"/>
        <v>0</v>
      </c>
      <c r="J306" s="627">
        <f t="shared" si="95"/>
        <v>162.07</v>
      </c>
      <c r="K306" s="627">
        <f t="shared" si="95"/>
        <v>0</v>
      </c>
      <c r="L306" s="627">
        <f t="shared" si="95"/>
        <v>162.07</v>
      </c>
      <c r="M306" s="29">
        <f t="shared" si="95"/>
        <v>0</v>
      </c>
      <c r="N306" s="30">
        <f t="shared" si="95"/>
        <v>162.07</v>
      </c>
    </row>
    <row r="307" spans="1:16" ht="15.75" customHeight="1">
      <c r="A307" s="111" t="s">
        <v>287</v>
      </c>
      <c r="B307" s="26" t="s">
        <v>270</v>
      </c>
      <c r="C307" s="26" t="s">
        <v>37</v>
      </c>
      <c r="D307" s="26" t="s">
        <v>21</v>
      </c>
      <c r="E307" s="26" t="s">
        <v>286</v>
      </c>
      <c r="F307" s="26" t="s">
        <v>288</v>
      </c>
      <c r="G307" s="147"/>
      <c r="H307" s="589"/>
      <c r="I307" s="147"/>
      <c r="J307" s="627">
        <v>162.07</v>
      </c>
      <c r="K307" s="627"/>
      <c r="L307" s="627">
        <f>J307+K307</f>
        <v>162.07</v>
      </c>
      <c r="M307" s="42"/>
      <c r="N307" s="30">
        <f>L307+M307</f>
        <v>162.07</v>
      </c>
      <c r="O307" s="11">
        <v>144.07</v>
      </c>
      <c r="P307" s="14">
        <f>L307-O307</f>
        <v>18</v>
      </c>
    </row>
    <row r="308" spans="1:16" ht="57.75" customHeight="1">
      <c r="A308" s="114" t="s">
        <v>342</v>
      </c>
      <c r="B308" s="34" t="s">
        <v>270</v>
      </c>
      <c r="C308" s="34" t="s">
        <v>39</v>
      </c>
      <c r="D308" s="34" t="s">
        <v>292</v>
      </c>
      <c r="E308" s="34"/>
      <c r="F308" s="34"/>
      <c r="G308" s="585"/>
      <c r="H308" s="587"/>
      <c r="I308" s="585"/>
      <c r="J308" s="379">
        <f>J309+J315+J317</f>
        <v>33917.269999999997</v>
      </c>
      <c r="K308" s="379">
        <f>K309+K315+K317</f>
        <v>783.726</v>
      </c>
      <c r="L308" s="379">
        <f>L309+L315+L317</f>
        <v>34700.995999999999</v>
      </c>
      <c r="M308" s="42"/>
      <c r="N308" s="30"/>
    </row>
    <row r="309" spans="1:16" ht="54.75" customHeight="1">
      <c r="A309" s="145" t="s">
        <v>343</v>
      </c>
      <c r="B309" s="25" t="s">
        <v>270</v>
      </c>
      <c r="C309" s="25" t="s">
        <v>39</v>
      </c>
      <c r="D309" s="25" t="s">
        <v>21</v>
      </c>
      <c r="E309" s="25"/>
      <c r="F309" s="25"/>
      <c r="G309" s="565"/>
      <c r="H309" s="207"/>
      <c r="I309" s="565"/>
      <c r="J309" s="488">
        <f>J310</f>
        <v>25131.67</v>
      </c>
      <c r="K309" s="488">
        <f>K310</f>
        <v>0</v>
      </c>
      <c r="L309" s="488">
        <f>L310</f>
        <v>25131.67</v>
      </c>
      <c r="M309" s="42"/>
      <c r="N309" s="30"/>
    </row>
    <row r="310" spans="1:16" ht="27.75" customHeight="1">
      <c r="A310" s="62" t="s">
        <v>344</v>
      </c>
      <c r="B310" s="26" t="s">
        <v>270</v>
      </c>
      <c r="C310" s="26" t="s">
        <v>39</v>
      </c>
      <c r="D310" s="26" t="s">
        <v>21</v>
      </c>
      <c r="E310" s="127" t="s">
        <v>345</v>
      </c>
      <c r="F310" s="26"/>
      <c r="G310" s="147"/>
      <c r="H310" s="589"/>
      <c r="I310" s="147"/>
      <c r="J310" s="627">
        <f>J311+J313</f>
        <v>25131.67</v>
      </c>
      <c r="K310" s="627">
        <f>K311+K313</f>
        <v>0</v>
      </c>
      <c r="L310" s="627">
        <f>J310+K310</f>
        <v>25131.67</v>
      </c>
      <c r="M310" s="42"/>
      <c r="N310" s="30"/>
    </row>
    <row r="311" spans="1:16" ht="58.5" customHeight="1">
      <c r="A311" s="62" t="s">
        <v>346</v>
      </c>
      <c r="B311" s="26" t="s">
        <v>270</v>
      </c>
      <c r="C311" s="26" t="s">
        <v>39</v>
      </c>
      <c r="D311" s="26" t="s">
        <v>21</v>
      </c>
      <c r="E311" s="26" t="s">
        <v>347</v>
      </c>
      <c r="F311" s="26"/>
      <c r="G311" s="147"/>
      <c r="H311" s="589"/>
      <c r="I311" s="147"/>
      <c r="J311" s="627">
        <f>J312</f>
        <v>4269.5</v>
      </c>
      <c r="K311" s="627">
        <f>K312</f>
        <v>0</v>
      </c>
      <c r="L311" s="627">
        <f>L312</f>
        <v>4269.5</v>
      </c>
      <c r="M311" s="42"/>
      <c r="N311" s="30"/>
    </row>
    <row r="312" spans="1:16" ht="14.25" customHeight="1">
      <c r="A312" s="62" t="s">
        <v>348</v>
      </c>
      <c r="B312" s="26" t="s">
        <v>270</v>
      </c>
      <c r="C312" s="26" t="s">
        <v>39</v>
      </c>
      <c r="D312" s="26" t="s">
        <v>21</v>
      </c>
      <c r="E312" s="26" t="s">
        <v>347</v>
      </c>
      <c r="F312" s="26" t="s">
        <v>327</v>
      </c>
      <c r="G312" s="147"/>
      <c r="H312" s="589"/>
      <c r="I312" s="147"/>
      <c r="J312" s="627">
        <v>4269.5</v>
      </c>
      <c r="K312" s="627"/>
      <c r="L312" s="632">
        <f>J312+K312</f>
        <v>4269.5</v>
      </c>
      <c r="M312" s="42"/>
      <c r="N312" s="30"/>
    </row>
    <row r="313" spans="1:16" ht="57.75" customHeight="1">
      <c r="A313" s="62" t="s">
        <v>349</v>
      </c>
      <c r="B313" s="26" t="s">
        <v>270</v>
      </c>
      <c r="C313" s="26" t="s">
        <v>39</v>
      </c>
      <c r="D313" s="26" t="s">
        <v>21</v>
      </c>
      <c r="E313" s="26" t="s">
        <v>325</v>
      </c>
      <c r="F313" s="26"/>
      <c r="G313" s="147"/>
      <c r="H313" s="589"/>
      <c r="I313" s="147"/>
      <c r="J313" s="627">
        <f>J314</f>
        <v>20862.169999999998</v>
      </c>
      <c r="K313" s="627">
        <f>K314</f>
        <v>0</v>
      </c>
      <c r="L313" s="627">
        <f>L314</f>
        <v>20862.169999999998</v>
      </c>
      <c r="M313" s="42"/>
      <c r="N313" s="30"/>
    </row>
    <row r="314" spans="1:16" ht="16.5" customHeight="1">
      <c r="A314" s="62" t="s">
        <v>348</v>
      </c>
      <c r="B314" s="26" t="s">
        <v>270</v>
      </c>
      <c r="C314" s="26" t="s">
        <v>39</v>
      </c>
      <c r="D314" s="26" t="s">
        <v>21</v>
      </c>
      <c r="E314" s="26" t="s">
        <v>325</v>
      </c>
      <c r="F314" s="26" t="s">
        <v>327</v>
      </c>
      <c r="G314" s="147"/>
      <c r="H314" s="589"/>
      <c r="I314" s="147"/>
      <c r="J314" s="627">
        <v>20862.169999999998</v>
      </c>
      <c r="K314" s="627"/>
      <c r="L314" s="632">
        <f>J314+K314</f>
        <v>20862.169999999998</v>
      </c>
      <c r="M314" s="42"/>
      <c r="N314" s="30"/>
      <c r="O314" s="11">
        <v>20862.169999999998</v>
      </c>
      <c r="P314" s="45">
        <f>K314-O314</f>
        <v>-20862.169999999998</v>
      </c>
    </row>
    <row r="315" spans="1:16" ht="15" hidden="1" customHeight="1">
      <c r="A315" s="145" t="s">
        <v>106</v>
      </c>
      <c r="B315" s="25" t="s">
        <v>270</v>
      </c>
      <c r="C315" s="25" t="s">
        <v>39</v>
      </c>
      <c r="D315" s="25" t="s">
        <v>22</v>
      </c>
      <c r="E315" s="25"/>
      <c r="F315" s="25"/>
      <c r="G315" s="565"/>
      <c r="H315" s="207"/>
      <c r="I315" s="565"/>
      <c r="J315" s="488">
        <f>J316</f>
        <v>0</v>
      </c>
      <c r="K315" s="488">
        <f>K316</f>
        <v>0</v>
      </c>
      <c r="L315" s="488">
        <f>L316</f>
        <v>0</v>
      </c>
      <c r="M315" s="42"/>
      <c r="N315" s="30"/>
    </row>
    <row r="316" spans="1:16" ht="18" hidden="1" customHeight="1">
      <c r="A316" s="46" t="s">
        <v>106</v>
      </c>
      <c r="B316" s="47" t="s">
        <v>270</v>
      </c>
      <c r="C316" s="47" t="s">
        <v>39</v>
      </c>
      <c r="D316" s="47" t="s">
        <v>22</v>
      </c>
      <c r="E316" s="47" t="s">
        <v>350</v>
      </c>
      <c r="F316" s="47"/>
      <c r="G316" s="590"/>
      <c r="H316" s="591"/>
      <c r="I316" s="590"/>
      <c r="J316" s="628">
        <f>H316+I316</f>
        <v>0</v>
      </c>
      <c r="K316" s="628"/>
      <c r="L316" s="628">
        <f>J316+K316</f>
        <v>0</v>
      </c>
      <c r="M316" s="42"/>
      <c r="N316" s="30"/>
    </row>
    <row r="317" spans="1:16" ht="56.25" customHeight="1">
      <c r="A317" s="145" t="s">
        <v>107</v>
      </c>
      <c r="B317" s="25" t="s">
        <v>270</v>
      </c>
      <c r="C317" s="25" t="s">
        <v>39</v>
      </c>
      <c r="D317" s="25" t="s">
        <v>24</v>
      </c>
      <c r="E317" s="25"/>
      <c r="F317" s="25"/>
      <c r="G317" s="565"/>
      <c r="H317" s="207"/>
      <c r="I317" s="565"/>
      <c r="J317" s="488">
        <f>J320+J318</f>
        <v>8785.6</v>
      </c>
      <c r="K317" s="488">
        <f>K320+K318</f>
        <v>783.726</v>
      </c>
      <c r="L317" s="488">
        <f>J317+K317</f>
        <v>9569.3260000000009</v>
      </c>
      <c r="M317" s="42"/>
      <c r="N317" s="30"/>
    </row>
    <row r="318" spans="1:16" ht="75">
      <c r="A318" s="110" t="s">
        <v>311</v>
      </c>
      <c r="B318" s="26" t="s">
        <v>270</v>
      </c>
      <c r="C318" s="26" t="s">
        <v>39</v>
      </c>
      <c r="D318" s="26" t="s">
        <v>24</v>
      </c>
      <c r="E318" s="26" t="s">
        <v>312</v>
      </c>
      <c r="F318" s="26"/>
      <c r="G318" s="565"/>
      <c r="H318" s="207"/>
      <c r="I318" s="565"/>
      <c r="J318" s="627">
        <f>J319</f>
        <v>1083.5999999999999</v>
      </c>
      <c r="K318" s="627">
        <f>K319</f>
        <v>583.726</v>
      </c>
      <c r="L318" s="627">
        <f>L319</f>
        <v>1667.326</v>
      </c>
      <c r="M318" s="42"/>
      <c r="N318" s="30"/>
    </row>
    <row r="319" spans="1:16">
      <c r="A319" s="110" t="s">
        <v>6</v>
      </c>
      <c r="B319" s="26" t="s">
        <v>270</v>
      </c>
      <c r="C319" s="26" t="s">
        <v>39</v>
      </c>
      <c r="D319" s="26" t="s">
        <v>24</v>
      </c>
      <c r="E319" s="26" t="s">
        <v>312</v>
      </c>
      <c r="F319" s="26" t="s">
        <v>313</v>
      </c>
      <c r="G319" s="565"/>
      <c r="H319" s="207"/>
      <c r="I319" s="565"/>
      <c r="J319" s="627">
        <v>1083.5999999999999</v>
      </c>
      <c r="K319" s="627">
        <f>421.726+30+32+100</f>
        <v>583.726</v>
      </c>
      <c r="L319" s="627">
        <f>J319+K319</f>
        <v>1667.326</v>
      </c>
      <c r="M319" s="42"/>
      <c r="N319" s="30"/>
    </row>
    <row r="320" spans="1:16" ht="58.5" customHeight="1">
      <c r="A320" s="144" t="s">
        <v>329</v>
      </c>
      <c r="B320" s="127" t="s">
        <v>270</v>
      </c>
      <c r="C320" s="127" t="s">
        <v>39</v>
      </c>
      <c r="D320" s="127" t="s">
        <v>24</v>
      </c>
      <c r="E320" s="127" t="s">
        <v>330</v>
      </c>
      <c r="F320" s="608"/>
      <c r="G320" s="69"/>
      <c r="H320" s="68"/>
      <c r="I320" s="69"/>
      <c r="J320" s="627">
        <f>J323+J321</f>
        <v>7702</v>
      </c>
      <c r="K320" s="627">
        <f>K323+K321</f>
        <v>200</v>
      </c>
      <c r="L320" s="627">
        <f>L323+L321</f>
        <v>7902</v>
      </c>
      <c r="M320" s="42"/>
      <c r="N320" s="30"/>
    </row>
    <row r="321" spans="1:16" ht="42.75" customHeight="1">
      <c r="A321" s="144" t="s">
        <v>331</v>
      </c>
      <c r="B321" s="127" t="s">
        <v>270</v>
      </c>
      <c r="C321" s="127" t="s">
        <v>39</v>
      </c>
      <c r="D321" s="127" t="s">
        <v>24</v>
      </c>
      <c r="E321" s="127" t="s">
        <v>332</v>
      </c>
      <c r="F321" s="127"/>
      <c r="G321" s="67">
        <f t="shared" ref="G321:L321" si="96">G322</f>
        <v>0</v>
      </c>
      <c r="H321" s="67">
        <f t="shared" si="96"/>
        <v>4300</v>
      </c>
      <c r="I321" s="67">
        <f t="shared" si="96"/>
        <v>0</v>
      </c>
      <c r="J321" s="627">
        <f t="shared" si="96"/>
        <v>2088.1999999999998</v>
      </c>
      <c r="K321" s="627">
        <f>K322</f>
        <v>0</v>
      </c>
      <c r="L321" s="627">
        <f t="shared" si="96"/>
        <v>2088.1999999999998</v>
      </c>
      <c r="M321" s="150"/>
      <c r="N321" s="153"/>
    </row>
    <row r="322" spans="1:16" ht="15" customHeight="1">
      <c r="A322" s="144" t="s">
        <v>333</v>
      </c>
      <c r="B322" s="127" t="s">
        <v>270</v>
      </c>
      <c r="C322" s="127" t="s">
        <v>39</v>
      </c>
      <c r="D322" s="127" t="s">
        <v>24</v>
      </c>
      <c r="E322" s="127" t="s">
        <v>332</v>
      </c>
      <c r="F322" s="127" t="s">
        <v>334</v>
      </c>
      <c r="G322" s="67"/>
      <c r="H322" s="66">
        <v>4300</v>
      </c>
      <c r="I322" s="67"/>
      <c r="J322" s="627">
        <v>2088.1999999999998</v>
      </c>
      <c r="K322" s="627"/>
      <c r="L322" s="632">
        <f>J322+K322</f>
        <v>2088.1999999999998</v>
      </c>
      <c r="M322" s="150"/>
      <c r="N322" s="153"/>
    </row>
    <row r="323" spans="1:16" ht="57" customHeight="1">
      <c r="A323" s="144" t="s">
        <v>337</v>
      </c>
      <c r="B323" s="127" t="s">
        <v>270</v>
      </c>
      <c r="C323" s="127" t="s">
        <v>39</v>
      </c>
      <c r="D323" s="127" t="s">
        <v>24</v>
      </c>
      <c r="E323" s="127" t="s">
        <v>338</v>
      </c>
      <c r="F323" s="127"/>
      <c r="G323" s="69"/>
      <c r="H323" s="68"/>
      <c r="I323" s="69"/>
      <c r="J323" s="627">
        <f>J324</f>
        <v>5613.8</v>
      </c>
      <c r="K323" s="627">
        <f>K324</f>
        <v>200</v>
      </c>
      <c r="L323" s="627">
        <f>L324</f>
        <v>5813.8</v>
      </c>
      <c r="M323" s="150"/>
      <c r="N323" s="153"/>
    </row>
    <row r="324" spans="1:16" ht="18" customHeight="1">
      <c r="A324" s="144" t="s">
        <v>333</v>
      </c>
      <c r="B324" s="127" t="s">
        <v>270</v>
      </c>
      <c r="C324" s="127" t="s">
        <v>39</v>
      </c>
      <c r="D324" s="127" t="s">
        <v>24</v>
      </c>
      <c r="E324" s="127" t="s">
        <v>338</v>
      </c>
      <c r="F324" s="127" t="s">
        <v>334</v>
      </c>
      <c r="G324" s="67"/>
      <c r="H324" s="67">
        <v>1762.3</v>
      </c>
      <c r="I324" s="67"/>
      <c r="J324" s="627">
        <v>5613.8</v>
      </c>
      <c r="K324" s="627">
        <v>200</v>
      </c>
      <c r="L324" s="632">
        <f>J324+K324</f>
        <v>5813.8</v>
      </c>
      <c r="M324" s="150"/>
      <c r="N324" s="153"/>
    </row>
    <row r="325" spans="1:16" ht="30" thickBot="1">
      <c r="A325" s="594" t="s">
        <v>351</v>
      </c>
      <c r="B325" s="209" t="s">
        <v>352</v>
      </c>
      <c r="C325" s="209"/>
      <c r="D325" s="209"/>
      <c r="E325" s="209"/>
      <c r="F325" s="209"/>
      <c r="G325" s="211" t="e">
        <f t="shared" ref="G325:M325" si="97">G326+G337</f>
        <v>#REF!</v>
      </c>
      <c r="H325" s="211">
        <f t="shared" si="97"/>
        <v>42203.4</v>
      </c>
      <c r="I325" s="211">
        <f t="shared" si="97"/>
        <v>0</v>
      </c>
      <c r="J325" s="625">
        <f t="shared" si="97"/>
        <v>59688.523499999996</v>
      </c>
      <c r="K325" s="625">
        <f t="shared" si="97"/>
        <v>1764.143</v>
      </c>
      <c r="L325" s="625">
        <f t="shared" si="97"/>
        <v>61452.666499999999</v>
      </c>
      <c r="M325" s="89">
        <f t="shared" si="97"/>
        <v>135.5</v>
      </c>
      <c r="N325" s="90">
        <f>N326+N337</f>
        <v>47196.5435</v>
      </c>
    </row>
    <row r="326" spans="1:16" hidden="1">
      <c r="A326" s="609" t="s">
        <v>63</v>
      </c>
      <c r="B326" s="34" t="s">
        <v>352</v>
      </c>
      <c r="C326" s="34" t="s">
        <v>32</v>
      </c>
      <c r="D326" s="26"/>
      <c r="E326" s="26"/>
      <c r="F326" s="26"/>
      <c r="G326" s="585">
        <f t="shared" ref="G326:N329" si="98">G327</f>
        <v>0</v>
      </c>
      <c r="H326" s="587">
        <f t="shared" ref="H326:N326" si="99">H327+H333</f>
        <v>50</v>
      </c>
      <c r="I326" s="587">
        <f t="shared" si="99"/>
        <v>0</v>
      </c>
      <c r="J326" s="379">
        <f t="shared" si="99"/>
        <v>732.46749999999997</v>
      </c>
      <c r="K326" s="379">
        <f t="shared" si="99"/>
        <v>0</v>
      </c>
      <c r="L326" s="379">
        <f t="shared" si="99"/>
        <v>732.46749999999997</v>
      </c>
      <c r="M326" s="22">
        <f t="shared" si="99"/>
        <v>0</v>
      </c>
      <c r="N326" s="23">
        <f t="shared" si="99"/>
        <v>732.46749999999997</v>
      </c>
    </row>
    <row r="327" spans="1:16" s="113" customFormat="1" hidden="1">
      <c r="A327" s="154" t="s">
        <v>318</v>
      </c>
      <c r="B327" s="25" t="s">
        <v>352</v>
      </c>
      <c r="C327" s="25" t="s">
        <v>32</v>
      </c>
      <c r="D327" s="25" t="s">
        <v>28</v>
      </c>
      <c r="E327" s="25"/>
      <c r="F327" s="25"/>
      <c r="G327" s="207">
        <f t="shared" ref="G327:M327" si="100">G328+G331</f>
        <v>0</v>
      </c>
      <c r="H327" s="207">
        <f t="shared" si="100"/>
        <v>50</v>
      </c>
      <c r="I327" s="207">
        <f t="shared" si="100"/>
        <v>0</v>
      </c>
      <c r="J327" s="488">
        <f t="shared" si="100"/>
        <v>0</v>
      </c>
      <c r="K327" s="488">
        <f t="shared" si="100"/>
        <v>0</v>
      </c>
      <c r="L327" s="488">
        <f t="shared" si="100"/>
        <v>0</v>
      </c>
      <c r="M327" s="70">
        <f t="shared" si="100"/>
        <v>0</v>
      </c>
      <c r="N327" s="122">
        <f>N328+N331</f>
        <v>0</v>
      </c>
    </row>
    <row r="328" spans="1:16" ht="30" hidden="1">
      <c r="A328" s="144" t="s">
        <v>128</v>
      </c>
      <c r="B328" s="26" t="s">
        <v>352</v>
      </c>
      <c r="C328" s="26" t="s">
        <v>32</v>
      </c>
      <c r="D328" s="26" t="s">
        <v>28</v>
      </c>
      <c r="E328" s="26" t="s">
        <v>129</v>
      </c>
      <c r="F328" s="26"/>
      <c r="G328" s="147">
        <f t="shared" si="98"/>
        <v>-50</v>
      </c>
      <c r="H328" s="147">
        <f t="shared" si="98"/>
        <v>50</v>
      </c>
      <c r="I328" s="147">
        <f t="shared" si="98"/>
        <v>0</v>
      </c>
      <c r="J328" s="627">
        <f t="shared" si="98"/>
        <v>0</v>
      </c>
      <c r="K328" s="627">
        <f t="shared" si="98"/>
        <v>0</v>
      </c>
      <c r="L328" s="627">
        <f t="shared" si="98"/>
        <v>0</v>
      </c>
      <c r="M328" s="42">
        <f t="shared" si="98"/>
        <v>0</v>
      </c>
      <c r="N328" s="43">
        <f t="shared" si="98"/>
        <v>0</v>
      </c>
    </row>
    <row r="329" spans="1:16" ht="30" hidden="1">
      <c r="A329" s="144" t="s">
        <v>353</v>
      </c>
      <c r="B329" s="26" t="s">
        <v>352</v>
      </c>
      <c r="C329" s="26" t="s">
        <v>32</v>
      </c>
      <c r="D329" s="26" t="s">
        <v>28</v>
      </c>
      <c r="E329" s="26" t="s">
        <v>131</v>
      </c>
      <c r="F329" s="26"/>
      <c r="G329" s="147">
        <f t="shared" si="98"/>
        <v>-50</v>
      </c>
      <c r="H329" s="147">
        <f t="shared" si="98"/>
        <v>50</v>
      </c>
      <c r="I329" s="147">
        <f t="shared" si="98"/>
        <v>0</v>
      </c>
      <c r="J329" s="627">
        <f t="shared" si="98"/>
        <v>0</v>
      </c>
      <c r="K329" s="627">
        <f t="shared" si="98"/>
        <v>0</v>
      </c>
      <c r="L329" s="627">
        <f t="shared" si="98"/>
        <v>0</v>
      </c>
      <c r="M329" s="42">
        <f t="shared" si="98"/>
        <v>0</v>
      </c>
      <c r="N329" s="43">
        <f t="shared" si="98"/>
        <v>0</v>
      </c>
    </row>
    <row r="330" spans="1:16" ht="29.25" hidden="1" customHeight="1">
      <c r="A330" s="144" t="s">
        <v>141</v>
      </c>
      <c r="B330" s="26" t="s">
        <v>352</v>
      </c>
      <c r="C330" s="26" t="s">
        <v>32</v>
      </c>
      <c r="D330" s="26" t="s">
        <v>28</v>
      </c>
      <c r="E330" s="26" t="s">
        <v>131</v>
      </c>
      <c r="F330" s="26" t="s">
        <v>234</v>
      </c>
      <c r="G330" s="147">
        <v>-50</v>
      </c>
      <c r="H330" s="589">
        <v>50</v>
      </c>
      <c r="I330" s="147"/>
      <c r="J330" s="627"/>
      <c r="K330" s="627"/>
      <c r="L330" s="627">
        <f>J330+K330</f>
        <v>0</v>
      </c>
      <c r="M330" s="42"/>
      <c r="N330" s="30">
        <f>L330+M330</f>
        <v>0</v>
      </c>
    </row>
    <row r="331" spans="1:16" ht="27" hidden="1" customHeight="1">
      <c r="A331" s="31" t="s">
        <v>130</v>
      </c>
      <c r="B331" s="26" t="s">
        <v>352</v>
      </c>
      <c r="C331" s="26" t="s">
        <v>32</v>
      </c>
      <c r="D331" s="26" t="s">
        <v>28</v>
      </c>
      <c r="E331" s="26" t="s">
        <v>134</v>
      </c>
      <c r="F331" s="26"/>
      <c r="G331" s="589">
        <f t="shared" ref="G331:N331" si="101">G332</f>
        <v>50</v>
      </c>
      <c r="H331" s="589">
        <f t="shared" si="101"/>
        <v>0</v>
      </c>
      <c r="I331" s="589">
        <f t="shared" si="101"/>
        <v>0</v>
      </c>
      <c r="J331" s="627">
        <f t="shared" si="101"/>
        <v>0</v>
      </c>
      <c r="K331" s="627">
        <f t="shared" si="101"/>
        <v>0</v>
      </c>
      <c r="L331" s="627">
        <f t="shared" si="101"/>
        <v>0</v>
      </c>
      <c r="M331" s="29">
        <f t="shared" si="101"/>
        <v>0</v>
      </c>
      <c r="N331" s="30">
        <f t="shared" si="101"/>
        <v>0</v>
      </c>
    </row>
    <row r="332" spans="1:16" ht="26.25" hidden="1" customHeight="1">
      <c r="A332" s="31" t="s">
        <v>135</v>
      </c>
      <c r="B332" s="26" t="s">
        <v>352</v>
      </c>
      <c r="C332" s="26" t="s">
        <v>32</v>
      </c>
      <c r="D332" s="26" t="s">
        <v>28</v>
      </c>
      <c r="E332" s="26" t="s">
        <v>134</v>
      </c>
      <c r="F332" s="26" t="s">
        <v>133</v>
      </c>
      <c r="G332" s="589">
        <v>50</v>
      </c>
      <c r="H332" s="589"/>
      <c r="I332" s="589"/>
      <c r="J332" s="627">
        <f>H332+I332</f>
        <v>0</v>
      </c>
      <c r="K332" s="627"/>
      <c r="L332" s="627">
        <f>J332+K332</f>
        <v>0</v>
      </c>
      <c r="M332" s="29"/>
      <c r="N332" s="30">
        <f>L332+M332</f>
        <v>0</v>
      </c>
    </row>
    <row r="333" spans="1:16" ht="28.5" customHeight="1">
      <c r="A333" s="24" t="s">
        <v>68</v>
      </c>
      <c r="B333" s="25" t="s">
        <v>352</v>
      </c>
      <c r="C333" s="25" t="s">
        <v>32</v>
      </c>
      <c r="D333" s="25" t="s">
        <v>32</v>
      </c>
      <c r="E333" s="25"/>
      <c r="F333" s="25"/>
      <c r="G333" s="565" t="e">
        <f t="shared" ref="G333:N335" si="102">G334</f>
        <v>#REF!</v>
      </c>
      <c r="H333" s="565">
        <f t="shared" si="102"/>
        <v>0</v>
      </c>
      <c r="I333" s="565">
        <f t="shared" si="102"/>
        <v>0</v>
      </c>
      <c r="J333" s="488">
        <f t="shared" si="102"/>
        <v>732.46749999999997</v>
      </c>
      <c r="K333" s="488">
        <f t="shared" si="102"/>
        <v>0</v>
      </c>
      <c r="L333" s="488">
        <f t="shared" si="102"/>
        <v>732.46749999999997</v>
      </c>
      <c r="M333" s="95">
        <f t="shared" si="102"/>
        <v>0</v>
      </c>
      <c r="N333" s="96">
        <f t="shared" si="102"/>
        <v>732.46749999999997</v>
      </c>
    </row>
    <row r="334" spans="1:16" ht="30" customHeight="1">
      <c r="A334" s="31" t="s">
        <v>228</v>
      </c>
      <c r="B334" s="26" t="s">
        <v>352</v>
      </c>
      <c r="C334" s="26" t="s">
        <v>32</v>
      </c>
      <c r="D334" s="26" t="s">
        <v>32</v>
      </c>
      <c r="E334" s="26" t="s">
        <v>229</v>
      </c>
      <c r="F334" s="26"/>
      <c r="G334" s="147" t="e">
        <f t="shared" si="102"/>
        <v>#REF!</v>
      </c>
      <c r="H334" s="147">
        <f t="shared" si="102"/>
        <v>0</v>
      </c>
      <c r="I334" s="147">
        <f t="shared" si="102"/>
        <v>0</v>
      </c>
      <c r="J334" s="627">
        <f t="shared" si="102"/>
        <v>732.46749999999997</v>
      </c>
      <c r="K334" s="627">
        <f t="shared" si="102"/>
        <v>0</v>
      </c>
      <c r="L334" s="627">
        <f t="shared" si="102"/>
        <v>732.46749999999997</v>
      </c>
      <c r="M334" s="42">
        <f t="shared" si="102"/>
        <v>0</v>
      </c>
      <c r="N334" s="43">
        <f t="shared" si="102"/>
        <v>732.46749999999997</v>
      </c>
    </row>
    <row r="335" spans="1:16" ht="15" customHeight="1">
      <c r="A335" s="31" t="s">
        <v>230</v>
      </c>
      <c r="B335" s="26" t="s">
        <v>352</v>
      </c>
      <c r="C335" s="26" t="s">
        <v>32</v>
      </c>
      <c r="D335" s="26" t="s">
        <v>32</v>
      </c>
      <c r="E335" s="26" t="s">
        <v>231</v>
      </c>
      <c r="F335" s="26"/>
      <c r="G335" s="147" t="e">
        <f>G336+#REF!</f>
        <v>#REF!</v>
      </c>
      <c r="H335" s="589">
        <f t="shared" si="102"/>
        <v>0</v>
      </c>
      <c r="I335" s="147">
        <f t="shared" si="102"/>
        <v>0</v>
      </c>
      <c r="J335" s="627">
        <f t="shared" si="102"/>
        <v>732.46749999999997</v>
      </c>
      <c r="K335" s="627">
        <f t="shared" si="102"/>
        <v>0</v>
      </c>
      <c r="L335" s="627">
        <f t="shared" si="102"/>
        <v>732.46749999999997</v>
      </c>
      <c r="M335" s="42">
        <f t="shared" si="102"/>
        <v>0</v>
      </c>
      <c r="N335" s="43">
        <f t="shared" si="102"/>
        <v>732.46749999999997</v>
      </c>
    </row>
    <row r="336" spans="1:16" ht="27.75" customHeight="1">
      <c r="A336" s="31" t="s">
        <v>152</v>
      </c>
      <c r="B336" s="26" t="s">
        <v>352</v>
      </c>
      <c r="C336" s="26" t="s">
        <v>32</v>
      </c>
      <c r="D336" s="26" t="s">
        <v>32</v>
      </c>
      <c r="E336" s="26" t="s">
        <v>231</v>
      </c>
      <c r="F336" s="26" t="s">
        <v>142</v>
      </c>
      <c r="G336" s="147">
        <v>321</v>
      </c>
      <c r="H336" s="589"/>
      <c r="I336" s="147"/>
      <c r="J336" s="627">
        <v>732.46749999999997</v>
      </c>
      <c r="K336" s="627"/>
      <c r="L336" s="627">
        <f>J336+K336</f>
        <v>732.46749999999997</v>
      </c>
      <c r="M336" s="42"/>
      <c r="N336" s="30">
        <f>L336+M336</f>
        <v>732.46749999999997</v>
      </c>
      <c r="O336" s="11">
        <v>1699</v>
      </c>
      <c r="P336" s="15">
        <f>K336</f>
        <v>0</v>
      </c>
    </row>
    <row r="337" spans="1:16">
      <c r="A337" s="141" t="s">
        <v>86</v>
      </c>
      <c r="B337" s="34" t="s">
        <v>352</v>
      </c>
      <c r="C337" s="34" t="s">
        <v>85</v>
      </c>
      <c r="D337" s="34"/>
      <c r="E337" s="34"/>
      <c r="F337" s="34"/>
      <c r="G337" s="588" t="e">
        <f t="shared" ref="G337:M337" si="103">G338+G345+G355+G407</f>
        <v>#REF!</v>
      </c>
      <c r="H337" s="588">
        <f t="shared" si="103"/>
        <v>42153.4</v>
      </c>
      <c r="I337" s="588">
        <f t="shared" si="103"/>
        <v>0</v>
      </c>
      <c r="J337" s="379">
        <f t="shared" si="103"/>
        <v>58956.055999999997</v>
      </c>
      <c r="K337" s="379">
        <f t="shared" si="103"/>
        <v>1764.143</v>
      </c>
      <c r="L337" s="379">
        <f t="shared" si="103"/>
        <v>60720.199000000001</v>
      </c>
      <c r="M337" s="36">
        <f t="shared" si="103"/>
        <v>135.5</v>
      </c>
      <c r="N337" s="94">
        <f>N338+N345+N355+N407</f>
        <v>46464.076000000001</v>
      </c>
    </row>
    <row r="338" spans="1:16">
      <c r="A338" s="110" t="s">
        <v>88</v>
      </c>
      <c r="B338" s="25" t="s">
        <v>352</v>
      </c>
      <c r="C338" s="25" t="s">
        <v>85</v>
      </c>
      <c r="D338" s="25" t="s">
        <v>21</v>
      </c>
      <c r="E338" s="25"/>
      <c r="F338" s="25"/>
      <c r="G338" s="565" t="e">
        <f t="shared" ref="G338:M338" si="104">G339+G341</f>
        <v>#REF!</v>
      </c>
      <c r="H338" s="207">
        <f t="shared" si="104"/>
        <v>1925.2</v>
      </c>
      <c r="I338" s="565">
        <f t="shared" si="104"/>
        <v>0</v>
      </c>
      <c r="J338" s="488">
        <f>J339+J341+J343</f>
        <v>1593.18</v>
      </c>
      <c r="K338" s="488">
        <f>K339+K341+K343</f>
        <v>0</v>
      </c>
      <c r="L338" s="488">
        <f>L339+L341+L343</f>
        <v>1593.18</v>
      </c>
      <c r="M338" s="95">
        <f t="shared" si="104"/>
        <v>0</v>
      </c>
      <c r="N338" s="122">
        <f>N339+N341</f>
        <v>83.18</v>
      </c>
    </row>
    <row r="339" spans="1:16" ht="75" hidden="1">
      <c r="A339" s="110" t="s">
        <v>354</v>
      </c>
      <c r="B339" s="26" t="s">
        <v>352</v>
      </c>
      <c r="C339" s="26" t="s">
        <v>85</v>
      </c>
      <c r="D339" s="26" t="s">
        <v>21</v>
      </c>
      <c r="E339" s="26" t="s">
        <v>355</v>
      </c>
      <c r="F339" s="26"/>
      <c r="G339" s="147">
        <f t="shared" ref="G339:N339" si="105">G340</f>
        <v>-227</v>
      </c>
      <c r="H339" s="147">
        <f t="shared" si="105"/>
        <v>1925.2</v>
      </c>
      <c r="I339" s="147">
        <f t="shared" si="105"/>
        <v>0</v>
      </c>
      <c r="J339" s="627">
        <f t="shared" si="105"/>
        <v>0</v>
      </c>
      <c r="K339" s="627">
        <f t="shared" si="105"/>
        <v>0</v>
      </c>
      <c r="L339" s="627">
        <f t="shared" si="105"/>
        <v>0</v>
      </c>
      <c r="M339" s="42">
        <f t="shared" si="105"/>
        <v>0</v>
      </c>
      <c r="N339" s="43">
        <f t="shared" si="105"/>
        <v>0</v>
      </c>
    </row>
    <row r="340" spans="1:16" hidden="1">
      <c r="A340" s="110" t="s">
        <v>243</v>
      </c>
      <c r="B340" s="26" t="s">
        <v>352</v>
      </c>
      <c r="C340" s="26" t="s">
        <v>85</v>
      </c>
      <c r="D340" s="26" t="s">
        <v>21</v>
      </c>
      <c r="E340" s="26" t="s">
        <v>355</v>
      </c>
      <c r="F340" s="26" t="s">
        <v>244</v>
      </c>
      <c r="G340" s="147">
        <f>-227</f>
        <v>-227</v>
      </c>
      <c r="H340" s="589">
        <v>1925.2</v>
      </c>
      <c r="I340" s="147"/>
      <c r="J340" s="627"/>
      <c r="K340" s="627"/>
      <c r="L340" s="627">
        <f>J340+K340</f>
        <v>0</v>
      </c>
      <c r="M340" s="42"/>
      <c r="N340" s="30">
        <f>L340+M340</f>
        <v>0</v>
      </c>
    </row>
    <row r="341" spans="1:16" ht="60">
      <c r="A341" s="110" t="s">
        <v>356</v>
      </c>
      <c r="B341" s="26" t="s">
        <v>352</v>
      </c>
      <c r="C341" s="26" t="s">
        <v>85</v>
      </c>
      <c r="D341" s="26" t="s">
        <v>21</v>
      </c>
      <c r="E341" s="26" t="s">
        <v>357</v>
      </c>
      <c r="F341" s="26"/>
      <c r="G341" s="147" t="e">
        <f t="shared" ref="G341:N341" si="106">G342</f>
        <v>#REF!</v>
      </c>
      <c r="H341" s="589">
        <f t="shared" si="106"/>
        <v>0</v>
      </c>
      <c r="I341" s="147">
        <f t="shared" si="106"/>
        <v>0</v>
      </c>
      <c r="J341" s="627">
        <f t="shared" si="106"/>
        <v>83.18</v>
      </c>
      <c r="K341" s="627">
        <f t="shared" si="106"/>
        <v>0</v>
      </c>
      <c r="L341" s="627">
        <f t="shared" si="106"/>
        <v>83.18</v>
      </c>
      <c r="M341" s="42">
        <f t="shared" si="106"/>
        <v>0</v>
      </c>
      <c r="N341" s="30">
        <f t="shared" si="106"/>
        <v>83.18</v>
      </c>
    </row>
    <row r="342" spans="1:16">
      <c r="A342" s="110" t="s">
        <v>243</v>
      </c>
      <c r="B342" s="26" t="s">
        <v>352</v>
      </c>
      <c r="C342" s="26" t="s">
        <v>85</v>
      </c>
      <c r="D342" s="26" t="s">
        <v>21</v>
      </c>
      <c r="E342" s="26" t="s">
        <v>357</v>
      </c>
      <c r="F342" s="26" t="s">
        <v>244</v>
      </c>
      <c r="G342" s="589" t="e">
        <f>H342-#REF!</f>
        <v>#REF!</v>
      </c>
      <c r="H342" s="589"/>
      <c r="I342" s="589"/>
      <c r="J342" s="627">
        <v>83.18</v>
      </c>
      <c r="K342" s="627"/>
      <c r="L342" s="627">
        <f>J342+K342</f>
        <v>83.18</v>
      </c>
      <c r="M342" s="29"/>
      <c r="N342" s="30">
        <f>L342+M342</f>
        <v>83.18</v>
      </c>
      <c r="O342" s="44">
        <v>83.18</v>
      </c>
      <c r="P342" s="14">
        <f>L342-O342</f>
        <v>0</v>
      </c>
    </row>
    <row r="343" spans="1:16" ht="75">
      <c r="A343" s="110" t="s">
        <v>354</v>
      </c>
      <c r="B343" s="26" t="s">
        <v>352</v>
      </c>
      <c r="C343" s="26" t="s">
        <v>85</v>
      </c>
      <c r="D343" s="26" t="s">
        <v>21</v>
      </c>
      <c r="E343" s="26" t="s">
        <v>358</v>
      </c>
      <c r="F343" s="26"/>
      <c r="G343" s="589"/>
      <c r="H343" s="589"/>
      <c r="I343" s="589"/>
      <c r="J343" s="627">
        <f>J344</f>
        <v>1510</v>
      </c>
      <c r="K343" s="627">
        <f>K344</f>
        <v>0</v>
      </c>
      <c r="L343" s="627">
        <f>L344</f>
        <v>1510</v>
      </c>
      <c r="M343" s="29"/>
      <c r="N343" s="30"/>
    </row>
    <row r="344" spans="1:16">
      <c r="A344" s="110" t="s">
        <v>243</v>
      </c>
      <c r="B344" s="26" t="s">
        <v>352</v>
      </c>
      <c r="C344" s="26" t="s">
        <v>85</v>
      </c>
      <c r="D344" s="26" t="s">
        <v>21</v>
      </c>
      <c r="E344" s="127" t="s">
        <v>358</v>
      </c>
      <c r="F344" s="127" t="s">
        <v>244</v>
      </c>
      <c r="G344" s="589"/>
      <c r="H344" s="589"/>
      <c r="I344" s="589"/>
      <c r="J344" s="627">
        <v>1510</v>
      </c>
      <c r="K344" s="627"/>
      <c r="L344" s="627">
        <f>J344+K344</f>
        <v>1510</v>
      </c>
      <c r="M344" s="29"/>
      <c r="N344" s="30"/>
      <c r="O344" s="11">
        <v>1510</v>
      </c>
      <c r="P344" s="15">
        <f>K344</f>
        <v>0</v>
      </c>
    </row>
    <row r="345" spans="1:16" ht="29.25">
      <c r="A345" s="112" t="s">
        <v>89</v>
      </c>
      <c r="B345" s="25" t="s">
        <v>352</v>
      </c>
      <c r="C345" s="25" t="s">
        <v>85</v>
      </c>
      <c r="D345" s="25" t="s">
        <v>22</v>
      </c>
      <c r="E345" s="25"/>
      <c r="F345" s="25"/>
      <c r="G345" s="565">
        <f t="shared" ref="G345:M345" si="107">G350+G346+G348</f>
        <v>6</v>
      </c>
      <c r="H345" s="565">
        <f t="shared" si="107"/>
        <v>4331.8999999999996</v>
      </c>
      <c r="I345" s="565">
        <f t="shared" si="107"/>
        <v>0</v>
      </c>
      <c r="J345" s="488">
        <f>J350+J346+J348+J353</f>
        <v>8028.76</v>
      </c>
      <c r="K345" s="488">
        <f>K350+K346+K348+K353</f>
        <v>526.24300000000005</v>
      </c>
      <c r="L345" s="488">
        <f>L350+L346+L348+L353</f>
        <v>8555.0030000000006</v>
      </c>
      <c r="M345" s="95">
        <f t="shared" si="107"/>
        <v>182.5</v>
      </c>
      <c r="N345" s="96">
        <f>N350+N346+N348</f>
        <v>8262.0600000000013</v>
      </c>
    </row>
    <row r="346" spans="1:16" ht="75">
      <c r="A346" s="93" t="s">
        <v>359</v>
      </c>
      <c r="B346" s="26" t="s">
        <v>352</v>
      </c>
      <c r="C346" s="26" t="s">
        <v>85</v>
      </c>
      <c r="D346" s="26" t="s">
        <v>22</v>
      </c>
      <c r="E346" s="26" t="s">
        <v>360</v>
      </c>
      <c r="F346" s="26"/>
      <c r="G346" s="147">
        <f t="shared" ref="G346:N346" si="108">G347</f>
        <v>4570.2999999999993</v>
      </c>
      <c r="H346" s="147">
        <f t="shared" si="108"/>
        <v>0</v>
      </c>
      <c r="I346" s="147">
        <f t="shared" si="108"/>
        <v>0</v>
      </c>
      <c r="J346" s="627">
        <f t="shared" si="108"/>
        <v>7703.26</v>
      </c>
      <c r="K346" s="627">
        <f t="shared" si="108"/>
        <v>376.3</v>
      </c>
      <c r="L346" s="627">
        <f t="shared" si="108"/>
        <v>8079.56</v>
      </c>
      <c r="M346" s="42">
        <f t="shared" si="108"/>
        <v>250</v>
      </c>
      <c r="N346" s="43">
        <f t="shared" si="108"/>
        <v>8329.5600000000013</v>
      </c>
    </row>
    <row r="347" spans="1:16" ht="30">
      <c r="A347" s="111" t="s">
        <v>141</v>
      </c>
      <c r="B347" s="26" t="s">
        <v>352</v>
      </c>
      <c r="C347" s="26" t="s">
        <v>85</v>
      </c>
      <c r="D347" s="26" t="s">
        <v>22</v>
      </c>
      <c r="E347" s="26" t="s">
        <v>360</v>
      </c>
      <c r="F347" s="26" t="s">
        <v>142</v>
      </c>
      <c r="G347" s="147">
        <f>4569.9+0.4</f>
        <v>4570.2999999999993</v>
      </c>
      <c r="H347" s="589"/>
      <c r="I347" s="147"/>
      <c r="J347" s="627">
        <v>7703.26</v>
      </c>
      <c r="K347" s="627">
        <f>276.3+100</f>
        <v>376.3</v>
      </c>
      <c r="L347" s="627">
        <f>J347+K347</f>
        <v>8079.56</v>
      </c>
      <c r="M347" s="42">
        <v>250</v>
      </c>
      <c r="N347" s="30">
        <f>L347+M347</f>
        <v>8329.5600000000013</v>
      </c>
    </row>
    <row r="348" spans="1:16" ht="80.25" hidden="1" customHeight="1">
      <c r="A348" s="110" t="s">
        <v>354</v>
      </c>
      <c r="B348" s="26" t="s">
        <v>352</v>
      </c>
      <c r="C348" s="26" t="s">
        <v>85</v>
      </c>
      <c r="D348" s="26" t="s">
        <v>22</v>
      </c>
      <c r="E348" s="26" t="s">
        <v>355</v>
      </c>
      <c r="F348" s="26"/>
      <c r="G348" s="147">
        <f t="shared" ref="G348:N348" si="109">G349</f>
        <v>0</v>
      </c>
      <c r="H348" s="147">
        <f t="shared" si="109"/>
        <v>0</v>
      </c>
      <c r="I348" s="147">
        <f t="shared" si="109"/>
        <v>0</v>
      </c>
      <c r="J348" s="627">
        <f t="shared" si="109"/>
        <v>0</v>
      </c>
      <c r="K348" s="627">
        <f t="shared" si="109"/>
        <v>0</v>
      </c>
      <c r="L348" s="627">
        <f t="shared" si="109"/>
        <v>0</v>
      </c>
      <c r="M348" s="42">
        <f t="shared" si="109"/>
        <v>0</v>
      </c>
      <c r="N348" s="43">
        <f t="shared" si="109"/>
        <v>0</v>
      </c>
    </row>
    <row r="349" spans="1:16" ht="12.75" hidden="1" customHeight="1">
      <c r="A349" s="110" t="s">
        <v>243</v>
      </c>
      <c r="B349" s="26" t="s">
        <v>352</v>
      </c>
      <c r="C349" s="26" t="s">
        <v>85</v>
      </c>
      <c r="D349" s="26" t="s">
        <v>22</v>
      </c>
      <c r="E349" s="26" t="s">
        <v>355</v>
      </c>
      <c r="F349" s="26" t="s">
        <v>244</v>
      </c>
      <c r="G349" s="147">
        <v>0</v>
      </c>
      <c r="H349" s="589"/>
      <c r="I349" s="147">
        <v>0</v>
      </c>
      <c r="J349" s="627">
        <f>H349+I349</f>
        <v>0</v>
      </c>
      <c r="K349" s="627">
        <v>0</v>
      </c>
      <c r="L349" s="627">
        <f>J349+K349</f>
        <v>0</v>
      </c>
      <c r="M349" s="42">
        <v>0</v>
      </c>
      <c r="N349" s="30">
        <f>L349+M349</f>
        <v>0</v>
      </c>
    </row>
    <row r="350" spans="1:16" ht="30" hidden="1">
      <c r="A350" s="111" t="s">
        <v>361</v>
      </c>
      <c r="B350" s="26" t="s">
        <v>352</v>
      </c>
      <c r="C350" s="26" t="s">
        <v>85</v>
      </c>
      <c r="D350" s="26" t="s">
        <v>22</v>
      </c>
      <c r="E350" s="26" t="s">
        <v>362</v>
      </c>
      <c r="F350" s="26"/>
      <c r="G350" s="147">
        <f t="shared" ref="G350:N353" si="110">G351</f>
        <v>-4564.2999999999993</v>
      </c>
      <c r="H350" s="147">
        <f t="shared" si="110"/>
        <v>4331.8999999999996</v>
      </c>
      <c r="I350" s="147">
        <f t="shared" si="110"/>
        <v>0</v>
      </c>
      <c r="J350" s="627">
        <f t="shared" si="110"/>
        <v>0</v>
      </c>
      <c r="K350" s="627">
        <f t="shared" si="110"/>
        <v>0</v>
      </c>
      <c r="L350" s="627">
        <f t="shared" si="110"/>
        <v>0</v>
      </c>
      <c r="M350" s="42">
        <f t="shared" si="110"/>
        <v>-67.5</v>
      </c>
      <c r="N350" s="43">
        <f t="shared" si="110"/>
        <v>-67.5</v>
      </c>
    </row>
    <row r="351" spans="1:16" ht="30" hidden="1">
      <c r="A351" s="111" t="s">
        <v>145</v>
      </c>
      <c r="B351" s="26" t="s">
        <v>352</v>
      </c>
      <c r="C351" s="26" t="s">
        <v>85</v>
      </c>
      <c r="D351" s="26" t="s">
        <v>22</v>
      </c>
      <c r="E351" s="26" t="s">
        <v>363</v>
      </c>
      <c r="F351" s="26"/>
      <c r="G351" s="147">
        <f t="shared" si="110"/>
        <v>-4564.2999999999993</v>
      </c>
      <c r="H351" s="147">
        <f t="shared" si="110"/>
        <v>4331.8999999999996</v>
      </c>
      <c r="I351" s="147">
        <f t="shared" si="110"/>
        <v>0</v>
      </c>
      <c r="J351" s="627">
        <f t="shared" si="110"/>
        <v>0</v>
      </c>
      <c r="K351" s="627">
        <f t="shared" si="110"/>
        <v>0</v>
      </c>
      <c r="L351" s="627">
        <f t="shared" si="110"/>
        <v>0</v>
      </c>
      <c r="M351" s="42">
        <f t="shared" si="110"/>
        <v>-67.5</v>
      </c>
      <c r="N351" s="43">
        <f t="shared" si="110"/>
        <v>-67.5</v>
      </c>
    </row>
    <row r="352" spans="1:16" ht="30" hidden="1">
      <c r="A352" s="111" t="s">
        <v>141</v>
      </c>
      <c r="B352" s="26" t="s">
        <v>352</v>
      </c>
      <c r="C352" s="26" t="s">
        <v>85</v>
      </c>
      <c r="D352" s="26" t="s">
        <v>22</v>
      </c>
      <c r="E352" s="26" t="s">
        <v>363</v>
      </c>
      <c r="F352" s="26" t="s">
        <v>142</v>
      </c>
      <c r="G352" s="147">
        <f>6-15.4-4569.9+15</f>
        <v>-4564.2999999999993</v>
      </c>
      <c r="H352" s="589">
        <v>4331.8999999999996</v>
      </c>
      <c r="I352" s="147"/>
      <c r="J352" s="627"/>
      <c r="K352" s="627"/>
      <c r="L352" s="627">
        <f>J352+K352</f>
        <v>0</v>
      </c>
      <c r="M352" s="42">
        <f>-17.5-50</f>
        <v>-67.5</v>
      </c>
      <c r="N352" s="30">
        <f>L352+M352</f>
        <v>-67.5</v>
      </c>
    </row>
    <row r="353" spans="1:16" ht="30">
      <c r="A353" s="111" t="s">
        <v>145</v>
      </c>
      <c r="B353" s="26" t="s">
        <v>352</v>
      </c>
      <c r="C353" s="26" t="s">
        <v>85</v>
      </c>
      <c r="D353" s="26" t="s">
        <v>22</v>
      </c>
      <c r="E353" s="26" t="s">
        <v>364</v>
      </c>
      <c r="F353" s="26"/>
      <c r="G353" s="147"/>
      <c r="H353" s="589"/>
      <c r="I353" s="147"/>
      <c r="J353" s="627">
        <f t="shared" si="110"/>
        <v>325.5</v>
      </c>
      <c r="K353" s="627">
        <f t="shared" si="110"/>
        <v>149.94300000000001</v>
      </c>
      <c r="L353" s="627">
        <f t="shared" si="110"/>
        <v>475.44299999999998</v>
      </c>
      <c r="M353" s="42"/>
      <c r="N353" s="30"/>
    </row>
    <row r="354" spans="1:16" ht="30">
      <c r="A354" s="111" t="s">
        <v>141</v>
      </c>
      <c r="B354" s="26" t="s">
        <v>352</v>
      </c>
      <c r="C354" s="26" t="s">
        <v>85</v>
      </c>
      <c r="D354" s="26" t="s">
        <v>22</v>
      </c>
      <c r="E354" s="26" t="s">
        <v>364</v>
      </c>
      <c r="F354" s="26" t="s">
        <v>142</v>
      </c>
      <c r="G354" s="147"/>
      <c r="H354" s="589"/>
      <c r="I354" s="147"/>
      <c r="J354" s="627">
        <v>325.5</v>
      </c>
      <c r="K354" s="627">
        <f>35.75+4.466+60+24.473+25.254</f>
        <v>149.94300000000001</v>
      </c>
      <c r="L354" s="627">
        <f>J354+K354</f>
        <v>475.44299999999998</v>
      </c>
      <c r="M354" s="42"/>
      <c r="N354" s="30"/>
      <c r="O354" s="44">
        <f>178.92+171.97</f>
        <v>350.89</v>
      </c>
      <c r="P354" s="45">
        <f>L354-O354</f>
        <v>124.553</v>
      </c>
    </row>
    <row r="355" spans="1:16" ht="29.25">
      <c r="A355" s="155" t="s">
        <v>240</v>
      </c>
      <c r="B355" s="25" t="s">
        <v>352</v>
      </c>
      <c r="C355" s="25" t="s">
        <v>85</v>
      </c>
      <c r="D355" s="25" t="s">
        <v>24</v>
      </c>
      <c r="E355" s="25"/>
      <c r="F355" s="25"/>
      <c r="G355" s="206">
        <f t="shared" ref="G355:M355" si="111">G358+G404+G356</f>
        <v>3317.9229300000006</v>
      </c>
      <c r="H355" s="206">
        <f t="shared" si="111"/>
        <v>34738.200000000004</v>
      </c>
      <c r="I355" s="206">
        <f t="shared" si="111"/>
        <v>0</v>
      </c>
      <c r="J355" s="488">
        <f t="shared" si="111"/>
        <v>47340.185999999994</v>
      </c>
      <c r="K355" s="488">
        <f>K358+K404+K356</f>
        <v>1313.9</v>
      </c>
      <c r="L355" s="488">
        <f t="shared" si="111"/>
        <v>48654.085999999996</v>
      </c>
      <c r="M355" s="60">
        <f t="shared" si="111"/>
        <v>122</v>
      </c>
      <c r="N355" s="98">
        <f>N358+N404+N356</f>
        <v>36569.085999999996</v>
      </c>
    </row>
    <row r="356" spans="1:16" ht="75" hidden="1" customHeight="1">
      <c r="A356" s="39" t="s">
        <v>137</v>
      </c>
      <c r="B356" s="25" t="s">
        <v>352</v>
      </c>
      <c r="C356" s="25" t="s">
        <v>85</v>
      </c>
      <c r="D356" s="25" t="s">
        <v>24</v>
      </c>
      <c r="E356" s="25" t="s">
        <v>138</v>
      </c>
      <c r="F356" s="25"/>
      <c r="G356" s="565">
        <f t="shared" ref="G356:N356" si="112">G357</f>
        <v>3</v>
      </c>
      <c r="H356" s="565">
        <f t="shared" si="112"/>
        <v>0</v>
      </c>
      <c r="I356" s="565">
        <f t="shared" si="112"/>
        <v>0</v>
      </c>
      <c r="J356" s="488">
        <f t="shared" si="112"/>
        <v>0</v>
      </c>
      <c r="K356" s="488">
        <f t="shared" si="112"/>
        <v>0</v>
      </c>
      <c r="L356" s="488">
        <f t="shared" si="112"/>
        <v>0</v>
      </c>
      <c r="M356" s="95">
        <f t="shared" si="112"/>
        <v>0</v>
      </c>
      <c r="N356" s="96">
        <f t="shared" si="112"/>
        <v>0</v>
      </c>
    </row>
    <row r="357" spans="1:16" ht="15" hidden="1" customHeight="1">
      <c r="A357" s="110" t="s">
        <v>243</v>
      </c>
      <c r="B357" s="25" t="s">
        <v>352</v>
      </c>
      <c r="C357" s="25" t="s">
        <v>85</v>
      </c>
      <c r="D357" s="25" t="s">
        <v>24</v>
      </c>
      <c r="E357" s="25" t="s">
        <v>138</v>
      </c>
      <c r="F357" s="25" t="s">
        <v>244</v>
      </c>
      <c r="G357" s="565">
        <v>3</v>
      </c>
      <c r="H357" s="589"/>
      <c r="I357" s="565"/>
      <c r="J357" s="627">
        <f>H357+I357</f>
        <v>0</v>
      </c>
      <c r="K357" s="488"/>
      <c r="L357" s="627">
        <f>J357+K357</f>
        <v>0</v>
      </c>
      <c r="M357" s="95"/>
      <c r="N357" s="30">
        <f>L357+M357</f>
        <v>0</v>
      </c>
    </row>
    <row r="358" spans="1:16">
      <c r="A358" s="139" t="s">
        <v>365</v>
      </c>
      <c r="B358" s="26" t="s">
        <v>352</v>
      </c>
      <c r="C358" s="26" t="s">
        <v>85</v>
      </c>
      <c r="D358" s="26" t="s">
        <v>24</v>
      </c>
      <c r="E358" s="26" t="s">
        <v>366</v>
      </c>
      <c r="F358" s="26"/>
      <c r="G358" s="592">
        <f t="shared" ref="G358:M358" si="113">G359+G361+G364++G366+G368+G370+G373+G376+G378+G380++G383+G396+G398+G400+G402+G394</f>
        <v>6827.9229300000006</v>
      </c>
      <c r="H358" s="592">
        <f t="shared" si="113"/>
        <v>31056.600000000002</v>
      </c>
      <c r="I358" s="592">
        <f t="shared" si="113"/>
        <v>0</v>
      </c>
      <c r="J358" s="627">
        <f>J359+J361+J364++J366+J368+J370+J373+J376+J378+J380++J383+J396+J398+J400+J402+J394+J387+J389+J391</f>
        <v>47340.185999999994</v>
      </c>
      <c r="K358" s="627">
        <f>K359+K361+K364++K366+K368+K370+K373+K376+K378+K380++K383+K396+K398+K400+K402+K394+K387+K389+K391</f>
        <v>1313.9</v>
      </c>
      <c r="L358" s="627">
        <f>L359+L361+L364++L366+L368+L370+L373+L376+L378+L380++L383+L396+L398+L400+L402+L394+L387+L389+L391</f>
        <v>48654.085999999996</v>
      </c>
      <c r="M358" s="28">
        <f t="shared" si="113"/>
        <v>122</v>
      </c>
      <c r="N358" s="55">
        <f>N359+N361+N364++N366+N368+N370+N373+N376+N378+N380++N383+N396+N398+N400+N402+N394</f>
        <v>36569.085999999996</v>
      </c>
    </row>
    <row r="359" spans="1:16" ht="90" hidden="1">
      <c r="A359" s="110" t="s">
        <v>367</v>
      </c>
      <c r="B359" s="26" t="s">
        <v>352</v>
      </c>
      <c r="C359" s="26" t="s">
        <v>85</v>
      </c>
      <c r="D359" s="26" t="s">
        <v>24</v>
      </c>
      <c r="E359" s="26" t="s">
        <v>368</v>
      </c>
      <c r="F359" s="26"/>
      <c r="G359" s="147">
        <f t="shared" ref="G359:N359" si="114">G360</f>
        <v>-206</v>
      </c>
      <c r="H359" s="147">
        <f t="shared" si="114"/>
        <v>215.9</v>
      </c>
      <c r="I359" s="147">
        <f t="shared" si="114"/>
        <v>0</v>
      </c>
      <c r="J359" s="627">
        <f t="shared" si="114"/>
        <v>0</v>
      </c>
      <c r="K359" s="627">
        <f t="shared" si="114"/>
        <v>0</v>
      </c>
      <c r="L359" s="627">
        <f t="shared" si="114"/>
        <v>0</v>
      </c>
      <c r="M359" s="42">
        <f t="shared" si="114"/>
        <v>0</v>
      </c>
      <c r="N359" s="43">
        <f t="shared" si="114"/>
        <v>0</v>
      </c>
    </row>
    <row r="360" spans="1:16" hidden="1">
      <c r="A360" s="110" t="s">
        <v>243</v>
      </c>
      <c r="B360" s="26" t="s">
        <v>352</v>
      </c>
      <c r="C360" s="26" t="s">
        <v>85</v>
      </c>
      <c r="D360" s="26" t="s">
        <v>24</v>
      </c>
      <c r="E360" s="26" t="s">
        <v>368</v>
      </c>
      <c r="F360" s="26" t="s">
        <v>244</v>
      </c>
      <c r="G360" s="147">
        <v>-206</v>
      </c>
      <c r="H360" s="589">
        <v>215.9</v>
      </c>
      <c r="I360" s="147"/>
      <c r="J360" s="627"/>
      <c r="K360" s="627"/>
      <c r="L360" s="627">
        <f>J360+K360</f>
        <v>0</v>
      </c>
      <c r="M360" s="42"/>
      <c r="N360" s="30">
        <f>L360+M360</f>
        <v>0</v>
      </c>
    </row>
    <row r="361" spans="1:16" ht="45">
      <c r="A361" s="110" t="s">
        <v>369</v>
      </c>
      <c r="B361" s="26" t="s">
        <v>352</v>
      </c>
      <c r="C361" s="26" t="s">
        <v>85</v>
      </c>
      <c r="D361" s="26" t="s">
        <v>24</v>
      </c>
      <c r="E361" s="26" t="s">
        <v>370</v>
      </c>
      <c r="F361" s="26"/>
      <c r="G361" s="592">
        <f t="shared" ref="G361:M361" si="115">G362+G363</f>
        <v>27.99813</v>
      </c>
      <c r="H361" s="592">
        <f t="shared" si="115"/>
        <v>87.7</v>
      </c>
      <c r="I361" s="592">
        <f t="shared" si="115"/>
        <v>0</v>
      </c>
      <c r="J361" s="627">
        <f t="shared" si="115"/>
        <v>115</v>
      </c>
      <c r="K361" s="627">
        <f t="shared" si="115"/>
        <v>13.9</v>
      </c>
      <c r="L361" s="627">
        <f t="shared" si="115"/>
        <v>128.9</v>
      </c>
      <c r="M361" s="28">
        <f t="shared" si="115"/>
        <v>0</v>
      </c>
      <c r="N361" s="55">
        <f>N362+N363</f>
        <v>128.9</v>
      </c>
    </row>
    <row r="362" spans="1:16" ht="30" hidden="1">
      <c r="A362" s="110" t="s">
        <v>141</v>
      </c>
      <c r="B362" s="26" t="s">
        <v>352</v>
      </c>
      <c r="C362" s="26" t="s">
        <v>85</v>
      </c>
      <c r="D362" s="26" t="s">
        <v>24</v>
      </c>
      <c r="E362" s="26" t="s">
        <v>370</v>
      </c>
      <c r="F362" s="26" t="s">
        <v>142</v>
      </c>
      <c r="G362" s="147"/>
      <c r="H362" s="589">
        <v>87.7</v>
      </c>
      <c r="I362" s="147"/>
      <c r="J362" s="627"/>
      <c r="K362" s="627"/>
      <c r="L362" s="627">
        <f>J362+K362</f>
        <v>0</v>
      </c>
      <c r="M362" s="42"/>
      <c r="N362" s="30">
        <f>L362+M362</f>
        <v>0</v>
      </c>
    </row>
    <row r="363" spans="1:16">
      <c r="A363" s="110" t="s">
        <v>243</v>
      </c>
      <c r="B363" s="26" t="s">
        <v>352</v>
      </c>
      <c r="C363" s="26" t="s">
        <v>85</v>
      </c>
      <c r="D363" s="26" t="s">
        <v>24</v>
      </c>
      <c r="E363" s="26" t="s">
        <v>370</v>
      </c>
      <c r="F363" s="26" t="s">
        <v>244</v>
      </c>
      <c r="G363" s="147">
        <v>27.99813</v>
      </c>
      <c r="H363" s="589"/>
      <c r="I363" s="147"/>
      <c r="J363" s="627">
        <v>115</v>
      </c>
      <c r="K363" s="627">
        <v>13.9</v>
      </c>
      <c r="L363" s="627">
        <f>J363+K363</f>
        <v>128.9</v>
      </c>
      <c r="M363" s="42"/>
      <c r="N363" s="30">
        <f>L363+M363</f>
        <v>128.9</v>
      </c>
      <c r="O363" s="11">
        <v>115</v>
      </c>
      <c r="P363" s="15">
        <f>K363</f>
        <v>13.9</v>
      </c>
    </row>
    <row r="364" spans="1:16" ht="30" hidden="1">
      <c r="A364" s="116" t="s">
        <v>371</v>
      </c>
      <c r="B364" s="26" t="s">
        <v>352</v>
      </c>
      <c r="C364" s="26" t="s">
        <v>85</v>
      </c>
      <c r="D364" s="26" t="s">
        <v>24</v>
      </c>
      <c r="E364" s="26" t="s">
        <v>372</v>
      </c>
      <c r="F364" s="26"/>
      <c r="G364" s="147">
        <f t="shared" ref="G364:N364" si="116">G365</f>
        <v>0</v>
      </c>
      <c r="H364" s="147">
        <f t="shared" si="116"/>
        <v>7457.6</v>
      </c>
      <c r="I364" s="147">
        <f t="shared" si="116"/>
        <v>0</v>
      </c>
      <c r="J364" s="627">
        <f>J365</f>
        <v>0</v>
      </c>
      <c r="K364" s="627">
        <f t="shared" si="116"/>
        <v>0</v>
      </c>
      <c r="L364" s="627">
        <f t="shared" si="116"/>
        <v>0</v>
      </c>
      <c r="M364" s="42">
        <f t="shared" si="116"/>
        <v>0</v>
      </c>
      <c r="N364" s="43">
        <f t="shared" si="116"/>
        <v>0</v>
      </c>
    </row>
    <row r="365" spans="1:16" hidden="1">
      <c r="A365" s="116" t="s">
        <v>373</v>
      </c>
      <c r="B365" s="26" t="s">
        <v>352</v>
      </c>
      <c r="C365" s="26" t="s">
        <v>85</v>
      </c>
      <c r="D365" s="26" t="s">
        <v>24</v>
      </c>
      <c r="E365" s="26" t="s">
        <v>372</v>
      </c>
      <c r="F365" s="26" t="s">
        <v>244</v>
      </c>
      <c r="G365" s="147">
        <f>-2752.3+2752.3</f>
        <v>0</v>
      </c>
      <c r="H365" s="589">
        <v>7457.6</v>
      </c>
      <c r="I365" s="147"/>
      <c r="J365" s="627"/>
      <c r="K365" s="627"/>
      <c r="L365" s="627">
        <f>J365+K365</f>
        <v>0</v>
      </c>
      <c r="M365" s="42"/>
      <c r="N365" s="30">
        <f>L365+M365</f>
        <v>0</v>
      </c>
    </row>
    <row r="366" spans="1:16" hidden="1">
      <c r="A366" s="93" t="s">
        <v>373</v>
      </c>
      <c r="B366" s="26" t="s">
        <v>352</v>
      </c>
      <c r="C366" s="26" t="s">
        <v>85</v>
      </c>
      <c r="D366" s="26" t="s">
        <v>24</v>
      </c>
      <c r="E366" s="26" t="s">
        <v>374</v>
      </c>
      <c r="F366" s="26"/>
      <c r="G366" s="592">
        <f t="shared" ref="G366:N366" si="117">G367</f>
        <v>353.22045000000003</v>
      </c>
      <c r="H366" s="592">
        <f t="shared" si="117"/>
        <v>0</v>
      </c>
      <c r="I366" s="592">
        <f t="shared" si="117"/>
        <v>0</v>
      </c>
      <c r="J366" s="627">
        <f t="shared" si="117"/>
        <v>0</v>
      </c>
      <c r="K366" s="627">
        <f t="shared" si="117"/>
        <v>0</v>
      </c>
      <c r="L366" s="627">
        <f t="shared" si="117"/>
        <v>0</v>
      </c>
      <c r="M366" s="28">
        <f t="shared" si="117"/>
        <v>0</v>
      </c>
      <c r="N366" s="55">
        <f t="shared" si="117"/>
        <v>0</v>
      </c>
    </row>
    <row r="367" spans="1:16" hidden="1">
      <c r="A367" s="110" t="s">
        <v>243</v>
      </c>
      <c r="B367" s="26" t="s">
        <v>352</v>
      </c>
      <c r="C367" s="26" t="s">
        <v>85</v>
      </c>
      <c r="D367" s="26" t="s">
        <v>24</v>
      </c>
      <c r="E367" s="26" t="s">
        <v>374</v>
      </c>
      <c r="F367" s="26" t="s">
        <v>244</v>
      </c>
      <c r="G367" s="592">
        <v>353.22045000000003</v>
      </c>
      <c r="H367" s="589"/>
      <c r="I367" s="592"/>
      <c r="J367" s="627"/>
      <c r="K367" s="627"/>
      <c r="L367" s="627">
        <f>J367+K367</f>
        <v>0</v>
      </c>
      <c r="M367" s="28"/>
      <c r="N367" s="30">
        <f>L367+M367</f>
        <v>0</v>
      </c>
    </row>
    <row r="368" spans="1:16" ht="45" hidden="1">
      <c r="A368" s="93" t="s">
        <v>375</v>
      </c>
      <c r="B368" s="26" t="s">
        <v>352</v>
      </c>
      <c r="C368" s="26" t="s">
        <v>85</v>
      </c>
      <c r="D368" s="26" t="s">
        <v>24</v>
      </c>
      <c r="E368" s="26" t="s">
        <v>376</v>
      </c>
      <c r="F368" s="26"/>
      <c r="G368" s="592">
        <f t="shared" ref="G368:N368" si="118">G369</f>
        <v>909.37545</v>
      </c>
      <c r="H368" s="147">
        <f t="shared" si="118"/>
        <v>0</v>
      </c>
      <c r="I368" s="592">
        <f t="shared" si="118"/>
        <v>0</v>
      </c>
      <c r="J368" s="627">
        <f t="shared" si="118"/>
        <v>0</v>
      </c>
      <c r="K368" s="627">
        <f t="shared" si="118"/>
        <v>0</v>
      </c>
      <c r="L368" s="627">
        <f t="shared" si="118"/>
        <v>0</v>
      </c>
      <c r="M368" s="28">
        <f t="shared" si="118"/>
        <v>0</v>
      </c>
      <c r="N368" s="43">
        <f t="shared" si="118"/>
        <v>0</v>
      </c>
    </row>
    <row r="369" spans="1:16" hidden="1">
      <c r="A369" s="110" t="s">
        <v>243</v>
      </c>
      <c r="B369" s="26" t="s">
        <v>352</v>
      </c>
      <c r="C369" s="26" t="s">
        <v>85</v>
      </c>
      <c r="D369" s="26" t="s">
        <v>24</v>
      </c>
      <c r="E369" s="26" t="s">
        <v>376</v>
      </c>
      <c r="F369" s="26" t="s">
        <v>244</v>
      </c>
      <c r="G369" s="592">
        <f>0.17545+909.2</f>
        <v>909.37545</v>
      </c>
      <c r="H369" s="589"/>
      <c r="I369" s="592"/>
      <c r="J369" s="627"/>
      <c r="K369" s="627"/>
      <c r="L369" s="627">
        <f>J369+K369</f>
        <v>0</v>
      </c>
      <c r="M369" s="28"/>
      <c r="N369" s="30">
        <f>L369+M369</f>
        <v>0</v>
      </c>
    </row>
    <row r="370" spans="1:16" ht="45" hidden="1">
      <c r="A370" s="116" t="s">
        <v>375</v>
      </c>
      <c r="B370" s="26" t="s">
        <v>352</v>
      </c>
      <c r="C370" s="26" t="s">
        <v>85</v>
      </c>
      <c r="D370" s="26" t="s">
        <v>24</v>
      </c>
      <c r="E370" s="26" t="s">
        <v>377</v>
      </c>
      <c r="F370" s="26"/>
      <c r="G370" s="592">
        <f t="shared" ref="G370:M370" si="119">G371+G372</f>
        <v>-997.68505000000005</v>
      </c>
      <c r="H370" s="592">
        <f t="shared" si="119"/>
        <v>1557.3</v>
      </c>
      <c r="I370" s="592">
        <f t="shared" si="119"/>
        <v>0</v>
      </c>
      <c r="J370" s="627">
        <f t="shared" si="119"/>
        <v>0</v>
      </c>
      <c r="K370" s="627">
        <f t="shared" si="119"/>
        <v>0</v>
      </c>
      <c r="L370" s="627">
        <f t="shared" si="119"/>
        <v>0</v>
      </c>
      <c r="M370" s="28">
        <f t="shared" si="119"/>
        <v>0</v>
      </c>
      <c r="N370" s="55">
        <f>N371+N372</f>
        <v>0</v>
      </c>
    </row>
    <row r="371" spans="1:16" ht="30" hidden="1">
      <c r="A371" s="116" t="s">
        <v>378</v>
      </c>
      <c r="B371" s="26" t="s">
        <v>352</v>
      </c>
      <c r="C371" s="26" t="s">
        <v>85</v>
      </c>
      <c r="D371" s="26" t="s">
        <v>24</v>
      </c>
      <c r="E371" s="26" t="s">
        <v>379</v>
      </c>
      <c r="F371" s="26" t="s">
        <v>244</v>
      </c>
      <c r="G371" s="592">
        <f>1.51495-90+486.8</f>
        <v>398.31495000000001</v>
      </c>
      <c r="H371" s="589">
        <v>1557.3</v>
      </c>
      <c r="I371" s="592"/>
      <c r="J371" s="627"/>
      <c r="K371" s="627"/>
      <c r="L371" s="627">
        <f>J371+K371</f>
        <v>0</v>
      </c>
      <c r="M371" s="28"/>
      <c r="N371" s="30">
        <f>L371+M371</f>
        <v>0</v>
      </c>
    </row>
    <row r="372" spans="1:16" ht="30" hidden="1">
      <c r="A372" s="116" t="s">
        <v>380</v>
      </c>
      <c r="B372" s="26" t="s">
        <v>352</v>
      </c>
      <c r="C372" s="26" t="s">
        <v>85</v>
      </c>
      <c r="D372" s="26" t="s">
        <v>24</v>
      </c>
      <c r="E372" s="26" t="s">
        <v>379</v>
      </c>
      <c r="F372" s="26" t="s">
        <v>244</v>
      </c>
      <c r="G372" s="147">
        <v>-1396</v>
      </c>
      <c r="H372" s="589"/>
      <c r="I372" s="147"/>
      <c r="J372" s="627"/>
      <c r="K372" s="627"/>
      <c r="L372" s="627">
        <f>J372+K372</f>
        <v>0</v>
      </c>
      <c r="M372" s="42"/>
      <c r="N372" s="30">
        <f>L372+M372</f>
        <v>0</v>
      </c>
    </row>
    <row r="373" spans="1:16" ht="150" customHeight="1">
      <c r="A373" s="110" t="s">
        <v>381</v>
      </c>
      <c r="B373" s="26" t="s">
        <v>352</v>
      </c>
      <c r="C373" s="26" t="s">
        <v>85</v>
      </c>
      <c r="D373" s="26" t="s">
        <v>24</v>
      </c>
      <c r="E373" s="26" t="s">
        <v>382</v>
      </c>
      <c r="F373" s="26"/>
      <c r="G373" s="147">
        <f t="shared" ref="G373:N373" si="120">G375</f>
        <v>0</v>
      </c>
      <c r="H373" s="147">
        <f t="shared" si="120"/>
        <v>809.6</v>
      </c>
      <c r="I373" s="147">
        <f t="shared" si="120"/>
        <v>0</v>
      </c>
      <c r="J373" s="627">
        <f>J375+J374</f>
        <v>2232</v>
      </c>
      <c r="K373" s="627">
        <f>K375+K374</f>
        <v>0</v>
      </c>
      <c r="L373" s="627">
        <f>L375+L374</f>
        <v>2232</v>
      </c>
      <c r="M373" s="42">
        <f t="shared" si="120"/>
        <v>0</v>
      </c>
      <c r="N373" s="43">
        <f t="shared" si="120"/>
        <v>1116</v>
      </c>
    </row>
    <row r="374" spans="1:16">
      <c r="A374" s="110" t="s">
        <v>243</v>
      </c>
      <c r="B374" s="26" t="s">
        <v>352</v>
      </c>
      <c r="C374" s="26" t="s">
        <v>85</v>
      </c>
      <c r="D374" s="26" t="s">
        <v>24</v>
      </c>
      <c r="E374" s="26" t="s">
        <v>1145</v>
      </c>
      <c r="F374" s="26" t="s">
        <v>244</v>
      </c>
      <c r="G374" s="147"/>
      <c r="H374" s="147"/>
      <c r="I374" s="147"/>
      <c r="J374" s="627">
        <v>1116</v>
      </c>
      <c r="K374" s="627"/>
      <c r="L374" s="627">
        <f>J374+K374</f>
        <v>1116</v>
      </c>
      <c r="M374" s="42"/>
      <c r="N374" s="43"/>
    </row>
    <row r="375" spans="1:16">
      <c r="A375" s="110" t="s">
        <v>243</v>
      </c>
      <c r="B375" s="26" t="s">
        <v>352</v>
      </c>
      <c r="C375" s="26" t="s">
        <v>85</v>
      </c>
      <c r="D375" s="26" t="s">
        <v>24</v>
      </c>
      <c r="E375" s="26" t="s">
        <v>383</v>
      </c>
      <c r="F375" s="26" t="s">
        <v>244</v>
      </c>
      <c r="G375" s="147"/>
      <c r="H375" s="589">
        <v>809.6</v>
      </c>
      <c r="I375" s="147"/>
      <c r="J375" s="627">
        <v>1116</v>
      </c>
      <c r="K375" s="627"/>
      <c r="L375" s="627">
        <f>J375+K375</f>
        <v>1116</v>
      </c>
      <c r="M375" s="42"/>
      <c r="N375" s="30">
        <f>L375+M375</f>
        <v>1116</v>
      </c>
      <c r="O375" s="11">
        <v>558</v>
      </c>
      <c r="P375" s="15">
        <f>K375</f>
        <v>0</v>
      </c>
    </row>
    <row r="376" spans="1:16" ht="12" hidden="1" customHeight="1">
      <c r="A376" s="110" t="s">
        <v>384</v>
      </c>
      <c r="B376" s="26" t="s">
        <v>352</v>
      </c>
      <c r="C376" s="26" t="s">
        <v>85</v>
      </c>
      <c r="D376" s="26" t="s">
        <v>24</v>
      </c>
      <c r="E376" s="26" t="s">
        <v>385</v>
      </c>
      <c r="F376" s="26"/>
      <c r="G376" s="592">
        <f t="shared" ref="G376:N376" si="121">G377</f>
        <v>12.433579999999999</v>
      </c>
      <c r="H376" s="592">
        <f t="shared" si="121"/>
        <v>63.5</v>
      </c>
      <c r="I376" s="592">
        <f t="shared" si="121"/>
        <v>0</v>
      </c>
      <c r="J376" s="627">
        <f t="shared" si="121"/>
        <v>0</v>
      </c>
      <c r="K376" s="627">
        <f t="shared" si="121"/>
        <v>0</v>
      </c>
      <c r="L376" s="627">
        <f t="shared" si="121"/>
        <v>0</v>
      </c>
      <c r="M376" s="28">
        <f t="shared" si="121"/>
        <v>0</v>
      </c>
      <c r="N376" s="55">
        <f t="shared" si="121"/>
        <v>0</v>
      </c>
    </row>
    <row r="377" spans="1:16" ht="17.25" hidden="1" customHeight="1">
      <c r="A377" s="110" t="s">
        <v>243</v>
      </c>
      <c r="B377" s="26" t="s">
        <v>352</v>
      </c>
      <c r="C377" s="26" t="s">
        <v>85</v>
      </c>
      <c r="D377" s="26" t="s">
        <v>24</v>
      </c>
      <c r="E377" s="26" t="s">
        <v>385</v>
      </c>
      <c r="F377" s="26" t="s">
        <v>244</v>
      </c>
      <c r="G377" s="592">
        <v>12.433579999999999</v>
      </c>
      <c r="H377" s="589">
        <v>63.5</v>
      </c>
      <c r="I377" s="592"/>
      <c r="J377" s="627"/>
      <c r="K377" s="627"/>
      <c r="L377" s="627">
        <f>J377+K377</f>
        <v>0</v>
      </c>
      <c r="M377" s="28"/>
      <c r="N377" s="30">
        <f>L377+M377</f>
        <v>0</v>
      </c>
    </row>
    <row r="378" spans="1:16" ht="29.25" customHeight="1">
      <c r="A378" s="110" t="s">
        <v>386</v>
      </c>
      <c r="B378" s="26" t="s">
        <v>352</v>
      </c>
      <c r="C378" s="26" t="s">
        <v>85</v>
      </c>
      <c r="D378" s="26" t="s">
        <v>24</v>
      </c>
      <c r="E378" s="26" t="s">
        <v>387</v>
      </c>
      <c r="F378" s="26"/>
      <c r="G378" s="589">
        <f t="shared" ref="G378:N378" si="122">G379</f>
        <v>2180.9865300000001</v>
      </c>
      <c r="H378" s="589">
        <f t="shared" si="122"/>
        <v>19158.8</v>
      </c>
      <c r="I378" s="589">
        <f t="shared" si="122"/>
        <v>0</v>
      </c>
      <c r="J378" s="627">
        <f t="shared" si="122"/>
        <v>14474.1</v>
      </c>
      <c r="K378" s="627">
        <f t="shared" si="122"/>
        <v>1300</v>
      </c>
      <c r="L378" s="627">
        <f t="shared" si="122"/>
        <v>15774.1</v>
      </c>
      <c r="M378" s="29">
        <f t="shared" si="122"/>
        <v>0</v>
      </c>
      <c r="N378" s="30">
        <f t="shared" si="122"/>
        <v>15774.1</v>
      </c>
    </row>
    <row r="379" spans="1:16">
      <c r="A379" s="110" t="s">
        <v>243</v>
      </c>
      <c r="B379" s="26" t="s">
        <v>352</v>
      </c>
      <c r="C379" s="26" t="s">
        <v>85</v>
      </c>
      <c r="D379" s="26" t="s">
        <v>24</v>
      </c>
      <c r="E379" s="26" t="s">
        <v>387</v>
      </c>
      <c r="F379" s="26" t="s">
        <v>244</v>
      </c>
      <c r="G379" s="589">
        <f>2180.98653</f>
        <v>2180.9865300000001</v>
      </c>
      <c r="H379" s="589">
        <v>19158.8</v>
      </c>
      <c r="I379" s="589"/>
      <c r="J379" s="627">
        <v>14474.1</v>
      </c>
      <c r="K379" s="627">
        <v>1300</v>
      </c>
      <c r="L379" s="627">
        <f>J379+K379</f>
        <v>15774.1</v>
      </c>
      <c r="M379" s="29"/>
      <c r="N379" s="30">
        <f>L379+M379</f>
        <v>15774.1</v>
      </c>
      <c r="O379" s="11">
        <v>10564.1</v>
      </c>
      <c r="P379" s="15">
        <f>K379</f>
        <v>1300</v>
      </c>
    </row>
    <row r="380" spans="1:16" ht="60" hidden="1">
      <c r="A380" s="110" t="s">
        <v>388</v>
      </c>
      <c r="B380" s="26" t="s">
        <v>352</v>
      </c>
      <c r="C380" s="26" t="s">
        <v>85</v>
      </c>
      <c r="D380" s="26" t="s">
        <v>24</v>
      </c>
      <c r="E380" s="26" t="s">
        <v>389</v>
      </c>
      <c r="F380" s="26"/>
      <c r="G380" s="592">
        <f t="shared" ref="G380:M380" si="123">G381+G382</f>
        <v>13.745500000000002</v>
      </c>
      <c r="H380" s="592">
        <f t="shared" si="123"/>
        <v>95.4</v>
      </c>
      <c r="I380" s="592">
        <f t="shared" si="123"/>
        <v>0</v>
      </c>
      <c r="J380" s="627">
        <f t="shared" si="123"/>
        <v>0</v>
      </c>
      <c r="K380" s="627">
        <f t="shared" si="123"/>
        <v>0</v>
      </c>
      <c r="L380" s="627">
        <f t="shared" si="123"/>
        <v>0</v>
      </c>
      <c r="M380" s="28">
        <f t="shared" si="123"/>
        <v>0</v>
      </c>
      <c r="N380" s="55">
        <f>N381+N382</f>
        <v>0</v>
      </c>
    </row>
    <row r="381" spans="1:16" hidden="1">
      <c r="A381" s="110" t="s">
        <v>243</v>
      </c>
      <c r="B381" s="26" t="s">
        <v>352</v>
      </c>
      <c r="C381" s="26" t="s">
        <v>85</v>
      </c>
      <c r="D381" s="26" t="s">
        <v>24</v>
      </c>
      <c r="E381" s="26" t="s">
        <v>389</v>
      </c>
      <c r="F381" s="26" t="s">
        <v>244</v>
      </c>
      <c r="G381" s="592">
        <f>5.3945-47.9+47.9</f>
        <v>5.3945000000000007</v>
      </c>
      <c r="H381" s="589">
        <v>95.4</v>
      </c>
      <c r="I381" s="592"/>
      <c r="J381" s="627"/>
      <c r="K381" s="627"/>
      <c r="L381" s="627">
        <f>J381+K381</f>
        <v>0</v>
      </c>
      <c r="M381" s="28"/>
      <c r="N381" s="30">
        <f>L381+M381</f>
        <v>0</v>
      </c>
    </row>
    <row r="382" spans="1:16" ht="15" hidden="1" customHeight="1">
      <c r="A382" s="110" t="s">
        <v>243</v>
      </c>
      <c r="B382" s="26" t="s">
        <v>352</v>
      </c>
      <c r="C382" s="26" t="s">
        <v>85</v>
      </c>
      <c r="D382" s="26" t="s">
        <v>24</v>
      </c>
      <c r="E382" s="26" t="s">
        <v>390</v>
      </c>
      <c r="F382" s="26" t="s">
        <v>244</v>
      </c>
      <c r="G382" s="147">
        <f>8.351</f>
        <v>8.3510000000000009</v>
      </c>
      <c r="H382" s="589"/>
      <c r="I382" s="147"/>
      <c r="J382" s="627">
        <f>H382+I382</f>
        <v>0</v>
      </c>
      <c r="K382" s="627"/>
      <c r="L382" s="627">
        <f>J382+K382</f>
        <v>0</v>
      </c>
      <c r="M382" s="42"/>
      <c r="N382" s="30">
        <f>L382+M382</f>
        <v>0</v>
      </c>
    </row>
    <row r="383" spans="1:16" ht="45">
      <c r="A383" s="110" t="s">
        <v>391</v>
      </c>
      <c r="B383" s="26" t="s">
        <v>352</v>
      </c>
      <c r="C383" s="26" t="s">
        <v>85</v>
      </c>
      <c r="D383" s="26" t="s">
        <v>24</v>
      </c>
      <c r="E383" s="26" t="s">
        <v>392</v>
      </c>
      <c r="F383" s="26"/>
      <c r="G383" s="592">
        <f t="shared" ref="G383:M383" si="124">G384+G385</f>
        <v>701.88176999999996</v>
      </c>
      <c r="H383" s="589">
        <f t="shared" si="124"/>
        <v>556.5</v>
      </c>
      <c r="I383" s="592">
        <f t="shared" si="124"/>
        <v>0</v>
      </c>
      <c r="J383" s="627">
        <f t="shared" si="124"/>
        <v>8129.1</v>
      </c>
      <c r="K383" s="627">
        <f t="shared" si="124"/>
        <v>0</v>
      </c>
      <c r="L383" s="627">
        <f t="shared" si="124"/>
        <v>8129.1</v>
      </c>
      <c r="M383" s="28">
        <f t="shared" si="124"/>
        <v>0</v>
      </c>
      <c r="N383" s="30">
        <f>N384+N385</f>
        <v>8129.1</v>
      </c>
    </row>
    <row r="384" spans="1:16" hidden="1">
      <c r="A384" s="110" t="s">
        <v>243</v>
      </c>
      <c r="B384" s="26" t="s">
        <v>352</v>
      </c>
      <c r="C384" s="26" t="s">
        <v>85</v>
      </c>
      <c r="D384" s="26" t="s">
        <v>24</v>
      </c>
      <c r="E384" s="26" t="s">
        <v>392</v>
      </c>
      <c r="F384" s="26" t="s">
        <v>244</v>
      </c>
      <c r="G384" s="592">
        <f>561.12977+140.752-531</f>
        <v>170.88176999999996</v>
      </c>
      <c r="H384" s="589">
        <v>556.5</v>
      </c>
      <c r="I384" s="592"/>
      <c r="J384" s="627"/>
      <c r="K384" s="627"/>
      <c r="L384" s="627">
        <f>J384+K384</f>
        <v>0</v>
      </c>
      <c r="M384" s="28"/>
      <c r="N384" s="30">
        <f>L384+M384</f>
        <v>0</v>
      </c>
    </row>
    <row r="385" spans="1:16" ht="45">
      <c r="A385" s="93" t="s">
        <v>391</v>
      </c>
      <c r="B385" s="26" t="s">
        <v>352</v>
      </c>
      <c r="C385" s="26" t="s">
        <v>85</v>
      </c>
      <c r="D385" s="26" t="s">
        <v>24</v>
      </c>
      <c r="E385" s="26" t="s">
        <v>393</v>
      </c>
      <c r="F385" s="26"/>
      <c r="G385" s="147">
        <f t="shared" ref="G385:N385" si="125">G386</f>
        <v>531</v>
      </c>
      <c r="H385" s="147">
        <f t="shared" si="125"/>
        <v>0</v>
      </c>
      <c r="I385" s="147">
        <f t="shared" si="125"/>
        <v>0</v>
      </c>
      <c r="J385" s="627">
        <f t="shared" si="125"/>
        <v>8129.1</v>
      </c>
      <c r="K385" s="627">
        <f t="shared" si="125"/>
        <v>0</v>
      </c>
      <c r="L385" s="627">
        <f t="shared" si="125"/>
        <v>8129.1</v>
      </c>
      <c r="M385" s="42">
        <f t="shared" si="125"/>
        <v>0</v>
      </c>
      <c r="N385" s="43">
        <f t="shared" si="125"/>
        <v>8129.1</v>
      </c>
    </row>
    <row r="386" spans="1:16">
      <c r="A386" s="110" t="s">
        <v>243</v>
      </c>
      <c r="B386" s="26" t="s">
        <v>352</v>
      </c>
      <c r="C386" s="26" t="s">
        <v>85</v>
      </c>
      <c r="D386" s="26" t="s">
        <v>24</v>
      </c>
      <c r="E386" s="26" t="s">
        <v>393</v>
      </c>
      <c r="F386" s="26" t="s">
        <v>244</v>
      </c>
      <c r="G386" s="147">
        <v>531</v>
      </c>
      <c r="H386" s="589"/>
      <c r="I386" s="147"/>
      <c r="J386" s="627">
        <v>8129.1</v>
      </c>
      <c r="K386" s="627"/>
      <c r="L386" s="627">
        <f>J386+K386</f>
        <v>8129.1</v>
      </c>
      <c r="M386" s="42"/>
      <c r="N386" s="30">
        <f>L386+M386</f>
        <v>8129.1</v>
      </c>
      <c r="O386" s="11">
        <v>8129.1</v>
      </c>
      <c r="P386" s="15">
        <f>K386</f>
        <v>0</v>
      </c>
    </row>
    <row r="387" spans="1:16" ht="30">
      <c r="A387" s="116" t="s">
        <v>371</v>
      </c>
      <c r="B387" s="26" t="s">
        <v>352</v>
      </c>
      <c r="C387" s="26" t="s">
        <v>85</v>
      </c>
      <c r="D387" s="26" t="s">
        <v>24</v>
      </c>
      <c r="E387" s="26" t="s">
        <v>394</v>
      </c>
      <c r="F387" s="26"/>
      <c r="G387" s="147"/>
      <c r="H387" s="589"/>
      <c r="I387" s="147"/>
      <c r="J387" s="627">
        <f>J388</f>
        <v>7021</v>
      </c>
      <c r="K387" s="627">
        <f>K388</f>
        <v>0</v>
      </c>
      <c r="L387" s="627">
        <f>L388</f>
        <v>7021</v>
      </c>
      <c r="M387" s="42"/>
      <c r="N387" s="30"/>
    </row>
    <row r="388" spans="1:16">
      <c r="A388" s="116" t="s">
        <v>373</v>
      </c>
      <c r="B388" s="26" t="s">
        <v>352</v>
      </c>
      <c r="C388" s="26" t="s">
        <v>85</v>
      </c>
      <c r="D388" s="26" t="s">
        <v>24</v>
      </c>
      <c r="E388" s="26" t="s">
        <v>394</v>
      </c>
      <c r="F388" s="26" t="s">
        <v>244</v>
      </c>
      <c r="G388" s="147"/>
      <c r="H388" s="589"/>
      <c r="I388" s="147"/>
      <c r="J388" s="627">
        <v>7021</v>
      </c>
      <c r="K388" s="627"/>
      <c r="L388" s="627">
        <f>J388+K388</f>
        <v>7021</v>
      </c>
      <c r="M388" s="42"/>
      <c r="N388" s="30"/>
      <c r="O388" s="11">
        <v>7021</v>
      </c>
      <c r="P388" s="15">
        <f>K388</f>
        <v>0</v>
      </c>
    </row>
    <row r="389" spans="1:16" ht="45">
      <c r="A389" s="93" t="s">
        <v>375</v>
      </c>
      <c r="B389" s="26" t="s">
        <v>352</v>
      </c>
      <c r="C389" s="26" t="s">
        <v>85</v>
      </c>
      <c r="D389" s="26" t="s">
        <v>24</v>
      </c>
      <c r="E389" s="26" t="s">
        <v>395</v>
      </c>
      <c r="F389" s="26"/>
      <c r="G389" s="147"/>
      <c r="H389" s="589"/>
      <c r="I389" s="147"/>
      <c r="J389" s="627">
        <f>J390</f>
        <v>3840</v>
      </c>
      <c r="K389" s="627">
        <f>K390</f>
        <v>0</v>
      </c>
      <c r="L389" s="627">
        <f>L390</f>
        <v>3840</v>
      </c>
      <c r="M389" s="42"/>
      <c r="N389" s="30"/>
    </row>
    <row r="390" spans="1:16">
      <c r="A390" s="110" t="s">
        <v>243</v>
      </c>
      <c r="B390" s="26" t="s">
        <v>352</v>
      </c>
      <c r="C390" s="26" t="s">
        <v>85</v>
      </c>
      <c r="D390" s="26" t="s">
        <v>24</v>
      </c>
      <c r="E390" s="26" t="s">
        <v>395</v>
      </c>
      <c r="F390" s="26" t="s">
        <v>244</v>
      </c>
      <c r="G390" s="147"/>
      <c r="H390" s="589"/>
      <c r="I390" s="147"/>
      <c r="J390" s="627">
        <v>3840</v>
      </c>
      <c r="K390" s="627"/>
      <c r="L390" s="627">
        <f>J390+K390</f>
        <v>3840</v>
      </c>
      <c r="M390" s="42"/>
      <c r="N390" s="30"/>
      <c r="O390" s="11">
        <v>3840</v>
      </c>
      <c r="P390" s="15">
        <f>K390</f>
        <v>0</v>
      </c>
    </row>
    <row r="391" spans="1:16" ht="60">
      <c r="A391" s="110" t="s">
        <v>388</v>
      </c>
      <c r="B391" s="26" t="s">
        <v>352</v>
      </c>
      <c r="C391" s="26" t="s">
        <v>85</v>
      </c>
      <c r="D391" s="26" t="s">
        <v>24</v>
      </c>
      <c r="E391" s="26" t="s">
        <v>396</v>
      </c>
      <c r="F391" s="26"/>
      <c r="G391" s="147"/>
      <c r="H391" s="589"/>
      <c r="I391" s="147"/>
      <c r="J391" s="627">
        <f>J393+J392</f>
        <v>230</v>
      </c>
      <c r="K391" s="627">
        <f>K393+K392</f>
        <v>0</v>
      </c>
      <c r="L391" s="627">
        <f>L393+L392</f>
        <v>230</v>
      </c>
      <c r="M391" s="42"/>
      <c r="N391" s="30"/>
    </row>
    <row r="392" spans="1:16">
      <c r="A392" s="110" t="s">
        <v>243</v>
      </c>
      <c r="B392" s="26" t="s">
        <v>352</v>
      </c>
      <c r="C392" s="26" t="s">
        <v>85</v>
      </c>
      <c r="D392" s="26" t="s">
        <v>24</v>
      </c>
      <c r="E392" s="26" t="s">
        <v>396</v>
      </c>
      <c r="F392" s="26" t="s">
        <v>244</v>
      </c>
      <c r="G392" s="147"/>
      <c r="H392" s="589"/>
      <c r="I392" s="147"/>
      <c r="J392" s="627">
        <f>134.9</f>
        <v>134.9</v>
      </c>
      <c r="K392" s="627"/>
      <c r="L392" s="627">
        <f>K392+J392</f>
        <v>134.9</v>
      </c>
      <c r="M392" s="42"/>
      <c r="N392" s="30"/>
    </row>
    <row r="393" spans="1:16">
      <c r="A393" s="110" t="s">
        <v>243</v>
      </c>
      <c r="B393" s="26" t="s">
        <v>352</v>
      </c>
      <c r="C393" s="26" t="s">
        <v>85</v>
      </c>
      <c r="D393" s="26" t="s">
        <v>24</v>
      </c>
      <c r="E393" s="26" t="s">
        <v>397</v>
      </c>
      <c r="F393" s="26" t="s">
        <v>244</v>
      </c>
      <c r="G393" s="147"/>
      <c r="H393" s="589"/>
      <c r="I393" s="147"/>
      <c r="J393" s="627">
        <f>230-134.9</f>
        <v>95.1</v>
      </c>
      <c r="K393" s="627"/>
      <c r="L393" s="627">
        <f>J393+K393</f>
        <v>95.1</v>
      </c>
      <c r="M393" s="42"/>
      <c r="N393" s="30"/>
      <c r="O393" s="11">
        <v>230</v>
      </c>
      <c r="P393" s="15">
        <f>K393</f>
        <v>0</v>
      </c>
    </row>
    <row r="394" spans="1:16" ht="30">
      <c r="A394" s="93" t="s">
        <v>398</v>
      </c>
      <c r="B394" s="26" t="s">
        <v>352</v>
      </c>
      <c r="C394" s="26" t="s">
        <v>85</v>
      </c>
      <c r="D394" s="26" t="s">
        <v>24</v>
      </c>
      <c r="E394" s="26" t="s">
        <v>399</v>
      </c>
      <c r="F394" s="26"/>
      <c r="G394" s="147">
        <f t="shared" ref="G394:N394" si="126">G395</f>
        <v>206</v>
      </c>
      <c r="H394" s="147">
        <f t="shared" si="126"/>
        <v>0</v>
      </c>
      <c r="I394" s="147">
        <f t="shared" si="126"/>
        <v>0</v>
      </c>
      <c r="J394" s="627">
        <f t="shared" si="126"/>
        <v>327</v>
      </c>
      <c r="K394" s="627">
        <f t="shared" si="126"/>
        <v>0</v>
      </c>
      <c r="L394" s="627">
        <f t="shared" si="126"/>
        <v>327</v>
      </c>
      <c r="M394" s="42">
        <f t="shared" si="126"/>
        <v>0</v>
      </c>
      <c r="N394" s="43">
        <f t="shared" si="126"/>
        <v>327</v>
      </c>
    </row>
    <row r="395" spans="1:16">
      <c r="A395" s="110" t="s">
        <v>243</v>
      </c>
      <c r="B395" s="26" t="s">
        <v>352</v>
      </c>
      <c r="C395" s="26" t="s">
        <v>85</v>
      </c>
      <c r="D395" s="26" t="s">
        <v>24</v>
      </c>
      <c r="E395" s="26" t="s">
        <v>399</v>
      </c>
      <c r="F395" s="26" t="s">
        <v>244</v>
      </c>
      <c r="G395" s="147">
        <f>206</f>
        <v>206</v>
      </c>
      <c r="H395" s="589"/>
      <c r="I395" s="147"/>
      <c r="J395" s="627">
        <v>327</v>
      </c>
      <c r="K395" s="627"/>
      <c r="L395" s="627">
        <f>J395+K395</f>
        <v>327</v>
      </c>
      <c r="M395" s="42"/>
      <c r="N395" s="30">
        <f>L395+M395</f>
        <v>327</v>
      </c>
      <c r="O395" s="11">
        <v>327</v>
      </c>
      <c r="P395" s="15">
        <f>K395</f>
        <v>0</v>
      </c>
    </row>
    <row r="396" spans="1:16" ht="42" customHeight="1">
      <c r="A396" s="31" t="s">
        <v>400</v>
      </c>
      <c r="B396" s="26" t="s">
        <v>352</v>
      </c>
      <c r="C396" s="26" t="s">
        <v>85</v>
      </c>
      <c r="D396" s="26" t="s">
        <v>24</v>
      </c>
      <c r="E396" s="26" t="s">
        <v>401</v>
      </c>
      <c r="F396" s="26"/>
      <c r="G396" s="592">
        <f t="shared" ref="G396:N396" si="127">G397</f>
        <v>99.15607</v>
      </c>
      <c r="H396" s="592">
        <f t="shared" si="127"/>
        <v>0</v>
      </c>
      <c r="I396" s="592">
        <f t="shared" si="127"/>
        <v>0</v>
      </c>
      <c r="J396" s="627">
        <f t="shared" si="127"/>
        <v>897</v>
      </c>
      <c r="K396" s="627">
        <f t="shared" si="127"/>
        <v>0</v>
      </c>
      <c r="L396" s="627">
        <f t="shared" si="127"/>
        <v>897</v>
      </c>
      <c r="M396" s="28">
        <f t="shared" si="127"/>
        <v>0</v>
      </c>
      <c r="N396" s="55">
        <f t="shared" si="127"/>
        <v>897</v>
      </c>
    </row>
    <row r="397" spans="1:16" ht="16.5" customHeight="1">
      <c r="A397" s="110" t="s">
        <v>243</v>
      </c>
      <c r="B397" s="26" t="s">
        <v>352</v>
      </c>
      <c r="C397" s="26" t="s">
        <v>85</v>
      </c>
      <c r="D397" s="26" t="s">
        <v>24</v>
      </c>
      <c r="E397" s="26" t="s">
        <v>401</v>
      </c>
      <c r="F397" s="26" t="s">
        <v>244</v>
      </c>
      <c r="G397" s="592">
        <f>9.15607+90</f>
        <v>99.15607</v>
      </c>
      <c r="H397" s="589"/>
      <c r="I397" s="592"/>
      <c r="J397" s="627">
        <v>897</v>
      </c>
      <c r="K397" s="627"/>
      <c r="L397" s="627">
        <f>J397+K397</f>
        <v>897</v>
      </c>
      <c r="M397" s="28"/>
      <c r="N397" s="30">
        <f>L397+M397</f>
        <v>897</v>
      </c>
      <c r="O397" s="11">
        <v>897</v>
      </c>
      <c r="P397" s="15">
        <f>K397</f>
        <v>0</v>
      </c>
    </row>
    <row r="398" spans="1:16" ht="78" customHeight="1">
      <c r="A398" s="93" t="s">
        <v>402</v>
      </c>
      <c r="B398" s="26" t="s">
        <v>352</v>
      </c>
      <c r="C398" s="26" t="s">
        <v>85</v>
      </c>
      <c r="D398" s="26" t="s">
        <v>24</v>
      </c>
      <c r="E398" s="26" t="s">
        <v>403</v>
      </c>
      <c r="F398" s="26"/>
      <c r="G398" s="589">
        <f t="shared" ref="G398:N398" si="128">G399</f>
        <v>3526.3411700000001</v>
      </c>
      <c r="H398" s="589">
        <f t="shared" si="128"/>
        <v>0</v>
      </c>
      <c r="I398" s="589">
        <f t="shared" si="128"/>
        <v>0</v>
      </c>
      <c r="J398" s="627">
        <f t="shared" si="128"/>
        <v>7042</v>
      </c>
      <c r="K398" s="627">
        <f t="shared" si="128"/>
        <v>0</v>
      </c>
      <c r="L398" s="627">
        <f t="shared" si="128"/>
        <v>7042</v>
      </c>
      <c r="M398" s="29">
        <f t="shared" si="128"/>
        <v>0</v>
      </c>
      <c r="N398" s="30">
        <f t="shared" si="128"/>
        <v>7042</v>
      </c>
    </row>
    <row r="399" spans="1:16" ht="16.5" customHeight="1">
      <c r="A399" s="110" t="s">
        <v>243</v>
      </c>
      <c r="B399" s="26" t="s">
        <v>352</v>
      </c>
      <c r="C399" s="26" t="s">
        <v>85</v>
      </c>
      <c r="D399" s="26" t="s">
        <v>24</v>
      </c>
      <c r="E399" s="26" t="s">
        <v>403</v>
      </c>
      <c r="F399" s="26" t="s">
        <v>244</v>
      </c>
      <c r="G399" s="589">
        <f>13.34117+3513</f>
        <v>3526.3411700000001</v>
      </c>
      <c r="H399" s="589"/>
      <c r="I399" s="589"/>
      <c r="J399" s="627">
        <v>7042</v>
      </c>
      <c r="K399" s="627"/>
      <c r="L399" s="627">
        <f>J399+K399</f>
        <v>7042</v>
      </c>
      <c r="M399" s="29"/>
      <c r="N399" s="30">
        <f>L399+M399</f>
        <v>7042</v>
      </c>
      <c r="O399" s="11">
        <v>7042</v>
      </c>
      <c r="P399" s="15">
        <f>K399</f>
        <v>0</v>
      </c>
    </row>
    <row r="400" spans="1:16" ht="29.25" customHeight="1">
      <c r="A400" s="31" t="s">
        <v>404</v>
      </c>
      <c r="B400" s="26" t="s">
        <v>352</v>
      </c>
      <c r="C400" s="26" t="s">
        <v>85</v>
      </c>
      <c r="D400" s="26" t="s">
        <v>24</v>
      </c>
      <c r="E400" s="26" t="s">
        <v>405</v>
      </c>
      <c r="F400" s="26"/>
      <c r="G400" s="592">
        <f t="shared" ref="G400:N400" si="129">G401</f>
        <v>796.46933000000001</v>
      </c>
      <c r="H400" s="592">
        <f t="shared" si="129"/>
        <v>0</v>
      </c>
      <c r="I400" s="592">
        <f t="shared" si="129"/>
        <v>0</v>
      </c>
      <c r="J400" s="627">
        <f t="shared" si="129"/>
        <v>2592</v>
      </c>
      <c r="K400" s="627">
        <f t="shared" si="129"/>
        <v>0</v>
      </c>
      <c r="L400" s="627">
        <f t="shared" si="129"/>
        <v>2592</v>
      </c>
      <c r="M400" s="28">
        <f t="shared" si="129"/>
        <v>0</v>
      </c>
      <c r="N400" s="55">
        <f t="shared" si="129"/>
        <v>2592</v>
      </c>
    </row>
    <row r="401" spans="1:20">
      <c r="A401" s="110" t="s">
        <v>243</v>
      </c>
      <c r="B401" s="26" t="s">
        <v>352</v>
      </c>
      <c r="C401" s="26" t="s">
        <v>85</v>
      </c>
      <c r="D401" s="26" t="s">
        <v>24</v>
      </c>
      <c r="E401" s="26" t="s">
        <v>405</v>
      </c>
      <c r="F401" s="26" t="s">
        <v>244</v>
      </c>
      <c r="G401" s="592">
        <f>0.46933+796</f>
        <v>796.46933000000001</v>
      </c>
      <c r="H401" s="589"/>
      <c r="I401" s="592"/>
      <c r="J401" s="627">
        <v>2592</v>
      </c>
      <c r="K401" s="627"/>
      <c r="L401" s="627">
        <f>J401+K401</f>
        <v>2592</v>
      </c>
      <c r="M401" s="28"/>
      <c r="N401" s="30">
        <f>L401+M401</f>
        <v>2592</v>
      </c>
      <c r="O401" s="11">
        <v>3129</v>
      </c>
      <c r="P401" s="15">
        <f>K401</f>
        <v>0</v>
      </c>
    </row>
    <row r="402" spans="1:20" ht="30">
      <c r="A402" s="110" t="s">
        <v>406</v>
      </c>
      <c r="B402" s="26" t="s">
        <v>352</v>
      </c>
      <c r="C402" s="26" t="s">
        <v>85</v>
      </c>
      <c r="D402" s="26" t="s">
        <v>24</v>
      </c>
      <c r="E402" s="26" t="s">
        <v>407</v>
      </c>
      <c r="F402" s="26"/>
      <c r="G402" s="147">
        <f t="shared" ref="G402:N402" si="130">G403</f>
        <v>-796</v>
      </c>
      <c r="H402" s="147">
        <f t="shared" si="130"/>
        <v>1054.3</v>
      </c>
      <c r="I402" s="147">
        <f t="shared" si="130"/>
        <v>0</v>
      </c>
      <c r="J402" s="627">
        <f t="shared" si="130"/>
        <v>440.98599999999999</v>
      </c>
      <c r="K402" s="627">
        <f>K403+K405</f>
        <v>0</v>
      </c>
      <c r="L402" s="627">
        <f t="shared" si="130"/>
        <v>440.98599999999999</v>
      </c>
      <c r="M402" s="42">
        <f t="shared" si="130"/>
        <v>122</v>
      </c>
      <c r="N402" s="43">
        <f t="shared" si="130"/>
        <v>562.98599999999999</v>
      </c>
    </row>
    <row r="403" spans="1:20">
      <c r="A403" s="110" t="s">
        <v>243</v>
      </c>
      <c r="B403" s="26" t="s">
        <v>352</v>
      </c>
      <c r="C403" s="26" t="s">
        <v>85</v>
      </c>
      <c r="D403" s="26" t="s">
        <v>24</v>
      </c>
      <c r="E403" s="26" t="s">
        <v>407</v>
      </c>
      <c r="F403" s="26" t="s">
        <v>244</v>
      </c>
      <c r="G403" s="147">
        <v>-796</v>
      </c>
      <c r="H403" s="589">
        <v>1054.3</v>
      </c>
      <c r="I403" s="147"/>
      <c r="J403" s="627">
        <v>440.98599999999999</v>
      </c>
      <c r="K403" s="627"/>
      <c r="L403" s="627">
        <f>J403+K403</f>
        <v>440.98599999999999</v>
      </c>
      <c r="M403" s="42">
        <f>122</f>
        <v>122</v>
      </c>
      <c r="N403" s="30">
        <f>L403+M403</f>
        <v>562.98599999999999</v>
      </c>
      <c r="O403" s="44">
        <v>228</v>
      </c>
      <c r="P403" s="15">
        <f>L403-O403</f>
        <v>212.98599999999999</v>
      </c>
    </row>
    <row r="404" spans="1:20" ht="27.75" hidden="1" customHeight="1">
      <c r="A404" s="110" t="s">
        <v>408</v>
      </c>
      <c r="B404" s="26" t="s">
        <v>352</v>
      </c>
      <c r="C404" s="26" t="s">
        <v>85</v>
      </c>
      <c r="D404" s="26" t="s">
        <v>24</v>
      </c>
      <c r="E404" s="26" t="s">
        <v>409</v>
      </c>
      <c r="F404" s="26"/>
      <c r="G404" s="147">
        <f t="shared" ref="G404:N405" si="131">G405</f>
        <v>-3513</v>
      </c>
      <c r="H404" s="147">
        <f t="shared" si="131"/>
        <v>3681.6</v>
      </c>
      <c r="I404" s="147">
        <f t="shared" si="131"/>
        <v>0</v>
      </c>
      <c r="J404" s="627">
        <f t="shared" si="131"/>
        <v>0</v>
      </c>
      <c r="K404" s="627"/>
      <c r="L404" s="627">
        <f t="shared" si="131"/>
        <v>0</v>
      </c>
      <c r="M404" s="42">
        <f t="shared" si="131"/>
        <v>0</v>
      </c>
      <c r="N404" s="43">
        <f t="shared" si="131"/>
        <v>0</v>
      </c>
    </row>
    <row r="405" spans="1:20" ht="29.25" customHeight="1">
      <c r="A405" s="110" t="s">
        <v>406</v>
      </c>
      <c r="B405" s="26" t="s">
        <v>352</v>
      </c>
      <c r="C405" s="26" t="s">
        <v>85</v>
      </c>
      <c r="D405" s="26" t="s">
        <v>24</v>
      </c>
      <c r="E405" s="26" t="s">
        <v>410</v>
      </c>
      <c r="F405" s="26"/>
      <c r="G405" s="147">
        <f t="shared" si="131"/>
        <v>-3513</v>
      </c>
      <c r="H405" s="147">
        <f t="shared" si="131"/>
        <v>3681.6</v>
      </c>
      <c r="I405" s="147">
        <f t="shared" si="131"/>
        <v>0</v>
      </c>
      <c r="J405" s="627">
        <f t="shared" si="131"/>
        <v>0</v>
      </c>
      <c r="K405" s="627">
        <f t="shared" si="131"/>
        <v>0</v>
      </c>
      <c r="L405" s="627">
        <f t="shared" si="131"/>
        <v>0</v>
      </c>
      <c r="M405" s="42">
        <f t="shared" si="131"/>
        <v>0</v>
      </c>
      <c r="N405" s="43">
        <f t="shared" si="131"/>
        <v>0</v>
      </c>
    </row>
    <row r="406" spans="1:20" ht="15.75" customHeight="1">
      <c r="A406" s="110" t="s">
        <v>243</v>
      </c>
      <c r="B406" s="26" t="s">
        <v>352</v>
      </c>
      <c r="C406" s="26" t="s">
        <v>85</v>
      </c>
      <c r="D406" s="26" t="s">
        <v>24</v>
      </c>
      <c r="E406" s="26" t="s">
        <v>410</v>
      </c>
      <c r="F406" s="26" t="s">
        <v>244</v>
      </c>
      <c r="G406" s="147">
        <v>-3513</v>
      </c>
      <c r="H406" s="589">
        <v>3681.6</v>
      </c>
      <c r="I406" s="147"/>
      <c r="J406" s="627">
        <v>0</v>
      </c>
      <c r="K406" s="627"/>
      <c r="L406" s="627">
        <f>J406+K406</f>
        <v>0</v>
      </c>
      <c r="M406" s="42"/>
      <c r="N406" s="30">
        <f>L406+M406</f>
        <v>0</v>
      </c>
    </row>
    <row r="407" spans="1:20" s="113" customFormat="1" ht="28.5">
      <c r="A407" s="119" t="s">
        <v>92</v>
      </c>
      <c r="B407" s="25" t="s">
        <v>352</v>
      </c>
      <c r="C407" s="25" t="s">
        <v>85</v>
      </c>
      <c r="D407" s="25" t="s">
        <v>30</v>
      </c>
      <c r="E407" s="25"/>
      <c r="F407" s="25"/>
      <c r="G407" s="565">
        <f t="shared" ref="G407:M407" si="132">G410+G414+G408</f>
        <v>75</v>
      </c>
      <c r="H407" s="565">
        <f t="shared" si="132"/>
        <v>1158.1000000000001</v>
      </c>
      <c r="I407" s="565">
        <f t="shared" si="132"/>
        <v>0</v>
      </c>
      <c r="J407" s="488">
        <f t="shared" si="132"/>
        <v>1993.93</v>
      </c>
      <c r="K407" s="488">
        <f t="shared" si="132"/>
        <v>-76</v>
      </c>
      <c r="L407" s="488">
        <f t="shared" si="132"/>
        <v>1917.93</v>
      </c>
      <c r="M407" s="95">
        <f t="shared" si="132"/>
        <v>-169</v>
      </c>
      <c r="N407" s="96">
        <f>N410+N414+N408</f>
        <v>1549.75</v>
      </c>
    </row>
    <row r="408" spans="1:20" s="113" customFormat="1" ht="78.75" customHeight="1">
      <c r="A408" s="31" t="s">
        <v>359</v>
      </c>
      <c r="B408" s="26" t="s">
        <v>352</v>
      </c>
      <c r="C408" s="26" t="s">
        <v>85</v>
      </c>
      <c r="D408" s="26" t="s">
        <v>30</v>
      </c>
      <c r="E408" s="26" t="s">
        <v>360</v>
      </c>
      <c r="F408" s="26"/>
      <c r="G408" s="147">
        <f t="shared" ref="G408:N408" si="133">G409</f>
        <v>912</v>
      </c>
      <c r="H408" s="147">
        <f t="shared" si="133"/>
        <v>0</v>
      </c>
      <c r="I408" s="147">
        <f t="shared" si="133"/>
        <v>0</v>
      </c>
      <c r="J408" s="627">
        <f t="shared" si="133"/>
        <v>1417</v>
      </c>
      <c r="K408" s="627">
        <f t="shared" si="133"/>
        <v>-100</v>
      </c>
      <c r="L408" s="627">
        <f t="shared" si="133"/>
        <v>1317</v>
      </c>
      <c r="M408" s="42">
        <f t="shared" si="133"/>
        <v>-250</v>
      </c>
      <c r="N408" s="43">
        <f t="shared" si="133"/>
        <v>1067</v>
      </c>
    </row>
    <row r="409" spans="1:20" s="113" customFormat="1" ht="30">
      <c r="A409" s="31" t="s">
        <v>135</v>
      </c>
      <c r="B409" s="26" t="s">
        <v>352</v>
      </c>
      <c r="C409" s="26" t="s">
        <v>85</v>
      </c>
      <c r="D409" s="26" t="s">
        <v>30</v>
      </c>
      <c r="E409" s="26" t="s">
        <v>360</v>
      </c>
      <c r="F409" s="26" t="s">
        <v>133</v>
      </c>
      <c r="G409" s="147">
        <f>950-38</f>
        <v>912</v>
      </c>
      <c r="H409" s="589"/>
      <c r="I409" s="147"/>
      <c r="J409" s="627">
        <v>1417</v>
      </c>
      <c r="K409" s="627">
        <v>-100</v>
      </c>
      <c r="L409" s="627">
        <f>J409+K409</f>
        <v>1317</v>
      </c>
      <c r="M409" s="42">
        <f>-250</f>
        <v>-250</v>
      </c>
      <c r="N409" s="30">
        <f>L409+M409</f>
        <v>1067</v>
      </c>
      <c r="O409" s="146">
        <f>L409+L347</f>
        <v>9396.5600000000013</v>
      </c>
      <c r="P409" s="146">
        <f>K347</f>
        <v>376.3</v>
      </c>
      <c r="R409" s="146">
        <f>L409+L347</f>
        <v>9396.5600000000013</v>
      </c>
    </row>
    <row r="410" spans="1:20" ht="30">
      <c r="A410" s="116" t="s">
        <v>411</v>
      </c>
      <c r="B410" s="26" t="s">
        <v>352</v>
      </c>
      <c r="C410" s="26" t="s">
        <v>85</v>
      </c>
      <c r="D410" s="26" t="s">
        <v>30</v>
      </c>
      <c r="E410" s="26" t="s">
        <v>191</v>
      </c>
      <c r="F410" s="26"/>
      <c r="G410" s="147">
        <f t="shared" ref="G410:N411" si="134">G411</f>
        <v>-912</v>
      </c>
      <c r="H410" s="147">
        <f t="shared" si="134"/>
        <v>1095.22</v>
      </c>
      <c r="I410" s="147">
        <f t="shared" si="134"/>
        <v>0</v>
      </c>
      <c r="J410" s="627">
        <f>J411</f>
        <v>175.18</v>
      </c>
      <c r="K410" s="627">
        <f t="shared" si="134"/>
        <v>23.999999999999996</v>
      </c>
      <c r="L410" s="627">
        <f t="shared" si="134"/>
        <v>199.18</v>
      </c>
      <c r="M410" s="42">
        <f t="shared" si="134"/>
        <v>41</v>
      </c>
      <c r="N410" s="43">
        <f t="shared" si="134"/>
        <v>41</v>
      </c>
    </row>
    <row r="411" spans="1:20">
      <c r="A411" s="116" t="s">
        <v>192</v>
      </c>
      <c r="B411" s="26" t="s">
        <v>352</v>
      </c>
      <c r="C411" s="26" t="s">
        <v>85</v>
      </c>
      <c r="D411" s="26" t="s">
        <v>30</v>
      </c>
      <c r="E411" s="26" t="s">
        <v>193</v>
      </c>
      <c r="F411" s="26"/>
      <c r="G411" s="147">
        <f t="shared" si="134"/>
        <v>-912</v>
      </c>
      <c r="H411" s="147">
        <f t="shared" si="134"/>
        <v>1095.22</v>
      </c>
      <c r="I411" s="147">
        <f t="shared" si="134"/>
        <v>0</v>
      </c>
      <c r="J411" s="627">
        <f>J412+J413</f>
        <v>175.18</v>
      </c>
      <c r="K411" s="627">
        <f>K412+K413</f>
        <v>23.999999999999996</v>
      </c>
      <c r="L411" s="627">
        <f>L412+L413</f>
        <v>199.18</v>
      </c>
      <c r="M411" s="42">
        <f t="shared" si="134"/>
        <v>41</v>
      </c>
      <c r="N411" s="43">
        <f t="shared" si="134"/>
        <v>41</v>
      </c>
    </row>
    <row r="412" spans="1:20" ht="30" hidden="1">
      <c r="A412" s="110" t="s">
        <v>141</v>
      </c>
      <c r="B412" s="26" t="s">
        <v>352</v>
      </c>
      <c r="C412" s="26" t="s">
        <v>85</v>
      </c>
      <c r="D412" s="26" t="s">
        <v>30</v>
      </c>
      <c r="E412" s="26" t="s">
        <v>193</v>
      </c>
      <c r="F412" s="26" t="s">
        <v>234</v>
      </c>
      <c r="G412" s="147">
        <f>-950+38</f>
        <v>-912</v>
      </c>
      <c r="H412" s="589">
        <v>1095.22</v>
      </c>
      <c r="I412" s="147"/>
      <c r="J412" s="627"/>
      <c r="K412" s="627"/>
      <c r="L412" s="627">
        <f>J412+K412</f>
        <v>0</v>
      </c>
      <c r="M412" s="42">
        <f>-9+50</f>
        <v>41</v>
      </c>
      <c r="N412" s="30">
        <f>L412+M412</f>
        <v>41</v>
      </c>
    </row>
    <row r="413" spans="1:20" ht="30">
      <c r="A413" s="31" t="s">
        <v>135</v>
      </c>
      <c r="B413" s="26" t="s">
        <v>352</v>
      </c>
      <c r="C413" s="26" t="s">
        <v>85</v>
      </c>
      <c r="D413" s="26" t="s">
        <v>30</v>
      </c>
      <c r="E413" s="26" t="s">
        <v>193</v>
      </c>
      <c r="F413" s="26" t="s">
        <v>133</v>
      </c>
      <c r="G413" s="147"/>
      <c r="H413" s="589"/>
      <c r="I413" s="147"/>
      <c r="J413" s="627">
        <v>175.18</v>
      </c>
      <c r="K413" s="627">
        <f>49.254-25.254</f>
        <v>23.999999999999996</v>
      </c>
      <c r="L413" s="627">
        <f>J413+K413</f>
        <v>199.18</v>
      </c>
      <c r="M413" s="42"/>
      <c r="N413" s="30"/>
      <c r="O413" s="44">
        <f>175.411+1.58+1.64</f>
        <v>178.631</v>
      </c>
      <c r="P413" s="45">
        <f>L413-O413</f>
        <v>20.549000000000007</v>
      </c>
      <c r="S413" s="11">
        <v>174.11</v>
      </c>
      <c r="T413" s="156">
        <f>L413+L354</f>
        <v>674.62300000000005</v>
      </c>
    </row>
    <row r="414" spans="1:20" ht="30">
      <c r="A414" s="110" t="s">
        <v>412</v>
      </c>
      <c r="B414" s="26" t="s">
        <v>352</v>
      </c>
      <c r="C414" s="26" t="s">
        <v>85</v>
      </c>
      <c r="D414" s="26" t="s">
        <v>30</v>
      </c>
      <c r="E414" s="26" t="s">
        <v>413</v>
      </c>
      <c r="F414" s="26"/>
      <c r="G414" s="147">
        <f t="shared" ref="G414:M414" si="135">G415+G417</f>
        <v>75</v>
      </c>
      <c r="H414" s="147">
        <f t="shared" si="135"/>
        <v>62.88</v>
      </c>
      <c r="I414" s="147">
        <f t="shared" si="135"/>
        <v>0</v>
      </c>
      <c r="J414" s="627">
        <f t="shared" si="135"/>
        <v>401.75</v>
      </c>
      <c r="K414" s="627">
        <f t="shared" si="135"/>
        <v>0</v>
      </c>
      <c r="L414" s="627">
        <f t="shared" si="135"/>
        <v>401.75</v>
      </c>
      <c r="M414" s="42">
        <f t="shared" si="135"/>
        <v>40</v>
      </c>
      <c r="N414" s="30">
        <f>N415+N417</f>
        <v>441.75</v>
      </c>
    </row>
    <row r="415" spans="1:20" ht="39">
      <c r="A415" s="157" t="s">
        <v>414</v>
      </c>
      <c r="B415" s="26" t="s">
        <v>352</v>
      </c>
      <c r="C415" s="26" t="s">
        <v>85</v>
      </c>
      <c r="D415" s="26" t="s">
        <v>30</v>
      </c>
      <c r="E415" s="26" t="s">
        <v>415</v>
      </c>
      <c r="F415" s="26"/>
      <c r="G415" s="147">
        <f t="shared" ref="G415:N415" si="136">G416</f>
        <v>35</v>
      </c>
      <c r="H415" s="147">
        <f t="shared" si="136"/>
        <v>62.88</v>
      </c>
      <c r="I415" s="147">
        <f t="shared" si="136"/>
        <v>0</v>
      </c>
      <c r="J415" s="627">
        <f t="shared" si="136"/>
        <v>321.75</v>
      </c>
      <c r="K415" s="627">
        <f t="shared" si="136"/>
        <v>0</v>
      </c>
      <c r="L415" s="627">
        <f t="shared" si="136"/>
        <v>321.75</v>
      </c>
      <c r="M415" s="42">
        <f t="shared" si="136"/>
        <v>40</v>
      </c>
      <c r="N415" s="43">
        <f t="shared" si="136"/>
        <v>361.75</v>
      </c>
    </row>
    <row r="416" spans="1:20" ht="30">
      <c r="A416" s="110" t="s">
        <v>416</v>
      </c>
      <c r="B416" s="26" t="s">
        <v>352</v>
      </c>
      <c r="C416" s="26" t="s">
        <v>85</v>
      </c>
      <c r="D416" s="26" t="s">
        <v>30</v>
      </c>
      <c r="E416" s="26" t="s">
        <v>415</v>
      </c>
      <c r="F416" s="26" t="s">
        <v>417</v>
      </c>
      <c r="G416" s="147">
        <f>15.4+19.6</f>
        <v>35</v>
      </c>
      <c r="H416" s="589">
        <v>62.88</v>
      </c>
      <c r="I416" s="147"/>
      <c r="J416" s="627">
        <v>321.75</v>
      </c>
      <c r="K416" s="627"/>
      <c r="L416" s="627">
        <f>J416+K416</f>
        <v>321.75</v>
      </c>
      <c r="M416" s="42">
        <f>40</f>
        <v>40</v>
      </c>
      <c r="N416" s="30">
        <f>L416+M416</f>
        <v>361.75</v>
      </c>
      <c r="O416" s="44"/>
    </row>
    <row r="417" spans="1:18" ht="42" customHeight="1">
      <c r="A417" s="110" t="s">
        <v>418</v>
      </c>
      <c r="B417" s="26" t="s">
        <v>352</v>
      </c>
      <c r="C417" s="26" t="s">
        <v>85</v>
      </c>
      <c r="D417" s="26" t="s">
        <v>30</v>
      </c>
      <c r="E417" s="26" t="s">
        <v>419</v>
      </c>
      <c r="F417" s="26"/>
      <c r="G417" s="147">
        <f t="shared" ref="G417:N417" si="137">G418</f>
        <v>40</v>
      </c>
      <c r="H417" s="589">
        <f t="shared" si="137"/>
        <v>0</v>
      </c>
      <c r="I417" s="147">
        <f t="shared" si="137"/>
        <v>0</v>
      </c>
      <c r="J417" s="627">
        <f t="shared" si="137"/>
        <v>80</v>
      </c>
      <c r="K417" s="627">
        <f t="shared" si="137"/>
        <v>0</v>
      </c>
      <c r="L417" s="627">
        <f t="shared" si="137"/>
        <v>80</v>
      </c>
      <c r="M417" s="42">
        <f t="shared" si="137"/>
        <v>0</v>
      </c>
      <c r="N417" s="30">
        <f t="shared" si="137"/>
        <v>80</v>
      </c>
    </row>
    <row r="418" spans="1:18" ht="30">
      <c r="A418" s="110" t="s">
        <v>416</v>
      </c>
      <c r="B418" s="26" t="s">
        <v>352</v>
      </c>
      <c r="C418" s="26" t="s">
        <v>85</v>
      </c>
      <c r="D418" s="26" t="s">
        <v>30</v>
      </c>
      <c r="E418" s="26" t="s">
        <v>419</v>
      </c>
      <c r="F418" s="26" t="s">
        <v>417</v>
      </c>
      <c r="G418" s="147">
        <v>40</v>
      </c>
      <c r="H418" s="589"/>
      <c r="I418" s="147"/>
      <c r="J418" s="627">
        <v>80</v>
      </c>
      <c r="K418" s="627"/>
      <c r="L418" s="627">
        <f>J418+K418</f>
        <v>80</v>
      </c>
      <c r="M418" s="42"/>
      <c r="N418" s="30">
        <f>L418+M418</f>
        <v>80</v>
      </c>
      <c r="O418" s="44"/>
    </row>
    <row r="419" spans="1:18" ht="15.75" hidden="1" thickBot="1">
      <c r="A419" s="594" t="s">
        <v>420</v>
      </c>
      <c r="B419" s="209" t="s">
        <v>421</v>
      </c>
      <c r="C419" s="209"/>
      <c r="D419" s="209"/>
      <c r="E419" s="209"/>
      <c r="F419" s="209"/>
      <c r="G419" s="211">
        <f t="shared" ref="G419:N420" si="138">G420</f>
        <v>0</v>
      </c>
      <c r="H419" s="211">
        <f t="shared" si="138"/>
        <v>526.1</v>
      </c>
      <c r="I419" s="211">
        <f t="shared" si="138"/>
        <v>0</v>
      </c>
      <c r="J419" s="625">
        <f t="shared" si="138"/>
        <v>0</v>
      </c>
      <c r="K419" s="625">
        <f t="shared" si="138"/>
        <v>0</v>
      </c>
      <c r="L419" s="625">
        <f t="shared" si="138"/>
        <v>0</v>
      </c>
      <c r="M419" s="89">
        <f t="shared" si="138"/>
        <v>0</v>
      </c>
      <c r="N419" s="90">
        <f t="shared" si="138"/>
        <v>0</v>
      </c>
    </row>
    <row r="420" spans="1:18" ht="43.5" hidden="1">
      <c r="A420" s="176" t="s">
        <v>43</v>
      </c>
      <c r="B420" s="34" t="s">
        <v>421</v>
      </c>
      <c r="C420" s="34" t="s">
        <v>24</v>
      </c>
      <c r="D420" s="26"/>
      <c r="E420" s="26"/>
      <c r="F420" s="26"/>
      <c r="G420" s="585">
        <f t="shared" si="138"/>
        <v>0</v>
      </c>
      <c r="H420" s="585">
        <f t="shared" si="138"/>
        <v>526.1</v>
      </c>
      <c r="I420" s="585">
        <f t="shared" si="138"/>
        <v>0</v>
      </c>
      <c r="J420" s="379">
        <f t="shared" si="138"/>
        <v>0</v>
      </c>
      <c r="K420" s="379">
        <f t="shared" si="138"/>
        <v>0</v>
      </c>
      <c r="L420" s="379">
        <f t="shared" si="138"/>
        <v>0</v>
      </c>
      <c r="M420" s="106">
        <f t="shared" si="138"/>
        <v>0</v>
      </c>
      <c r="N420" s="107">
        <f t="shared" si="138"/>
        <v>0</v>
      </c>
    </row>
    <row r="421" spans="1:18" s="113" customFormat="1" ht="14.25" hidden="1">
      <c r="A421" s="119" t="s">
        <v>45</v>
      </c>
      <c r="B421" s="25" t="s">
        <v>421</v>
      </c>
      <c r="C421" s="25" t="s">
        <v>24</v>
      </c>
      <c r="D421" s="25" t="s">
        <v>22</v>
      </c>
      <c r="E421" s="25"/>
      <c r="F421" s="25"/>
      <c r="G421" s="565">
        <f t="shared" ref="G421:M421" si="139">G422+G424</f>
        <v>0</v>
      </c>
      <c r="H421" s="565">
        <f t="shared" si="139"/>
        <v>526.1</v>
      </c>
      <c r="I421" s="565">
        <f t="shared" si="139"/>
        <v>0</v>
      </c>
      <c r="J421" s="488">
        <f t="shared" si="139"/>
        <v>0</v>
      </c>
      <c r="K421" s="488">
        <f t="shared" si="139"/>
        <v>0</v>
      </c>
      <c r="L421" s="488">
        <f t="shared" si="139"/>
        <v>0</v>
      </c>
      <c r="M421" s="95">
        <f t="shared" si="139"/>
        <v>0</v>
      </c>
      <c r="N421" s="96">
        <f>N422+N424</f>
        <v>0</v>
      </c>
    </row>
    <row r="422" spans="1:18" ht="60" hidden="1">
      <c r="A422" s="116" t="s">
        <v>422</v>
      </c>
      <c r="B422" s="26" t="s">
        <v>421</v>
      </c>
      <c r="C422" s="26" t="s">
        <v>24</v>
      </c>
      <c r="D422" s="26" t="s">
        <v>22</v>
      </c>
      <c r="E422" s="26" t="s">
        <v>301</v>
      </c>
      <c r="F422" s="26"/>
      <c r="G422" s="147">
        <f t="shared" ref="G422:N422" si="140">G423</f>
        <v>0</v>
      </c>
      <c r="H422" s="147">
        <f t="shared" si="140"/>
        <v>316.5</v>
      </c>
      <c r="I422" s="147">
        <f t="shared" si="140"/>
        <v>0</v>
      </c>
      <c r="J422" s="627">
        <f t="shared" si="140"/>
        <v>0</v>
      </c>
      <c r="K422" s="627">
        <f t="shared" si="140"/>
        <v>0</v>
      </c>
      <c r="L422" s="627">
        <f t="shared" si="140"/>
        <v>0</v>
      </c>
      <c r="M422" s="42">
        <f t="shared" si="140"/>
        <v>0</v>
      </c>
      <c r="N422" s="43">
        <f t="shared" si="140"/>
        <v>0</v>
      </c>
    </row>
    <row r="423" spans="1:18" ht="30" hidden="1">
      <c r="A423" s="116" t="s">
        <v>135</v>
      </c>
      <c r="B423" s="26" t="s">
        <v>421</v>
      </c>
      <c r="C423" s="26" t="s">
        <v>24</v>
      </c>
      <c r="D423" s="26" t="s">
        <v>22</v>
      </c>
      <c r="E423" s="26" t="s">
        <v>301</v>
      </c>
      <c r="F423" s="26" t="s">
        <v>133</v>
      </c>
      <c r="G423" s="147"/>
      <c r="H423" s="589">
        <v>316.5</v>
      </c>
      <c r="I423" s="147"/>
      <c r="J423" s="627"/>
      <c r="K423" s="627"/>
      <c r="L423" s="627">
        <f>J423+K423</f>
        <v>0</v>
      </c>
      <c r="M423" s="42"/>
      <c r="N423" s="30">
        <f>L423+M423</f>
        <v>0</v>
      </c>
    </row>
    <row r="424" spans="1:18" ht="60" hidden="1">
      <c r="A424" s="116" t="s">
        <v>423</v>
      </c>
      <c r="B424" s="26" t="s">
        <v>421</v>
      </c>
      <c r="C424" s="26" t="s">
        <v>24</v>
      </c>
      <c r="D424" s="26" t="s">
        <v>22</v>
      </c>
      <c r="E424" s="26" t="s">
        <v>303</v>
      </c>
      <c r="F424" s="26"/>
      <c r="G424" s="147">
        <f t="shared" ref="G424:N424" si="141">G425</f>
        <v>0</v>
      </c>
      <c r="H424" s="147">
        <f t="shared" si="141"/>
        <v>209.6</v>
      </c>
      <c r="I424" s="147">
        <f t="shared" si="141"/>
        <v>0</v>
      </c>
      <c r="J424" s="627">
        <f t="shared" si="141"/>
        <v>0</v>
      </c>
      <c r="K424" s="627">
        <f t="shared" si="141"/>
        <v>0</v>
      </c>
      <c r="L424" s="627">
        <f t="shared" si="141"/>
        <v>0</v>
      </c>
      <c r="M424" s="42">
        <f t="shared" si="141"/>
        <v>0</v>
      </c>
      <c r="N424" s="43">
        <f t="shared" si="141"/>
        <v>0</v>
      </c>
    </row>
    <row r="425" spans="1:18" ht="30.75" hidden="1" thickBot="1">
      <c r="A425" s="116" t="s">
        <v>135</v>
      </c>
      <c r="B425" s="26" t="s">
        <v>421</v>
      </c>
      <c r="C425" s="26" t="s">
        <v>24</v>
      </c>
      <c r="D425" s="26" t="s">
        <v>22</v>
      </c>
      <c r="E425" s="26" t="s">
        <v>303</v>
      </c>
      <c r="F425" s="26" t="s">
        <v>133</v>
      </c>
      <c r="G425" s="147"/>
      <c r="H425" s="589">
        <v>209.6</v>
      </c>
      <c r="I425" s="147"/>
      <c r="J425" s="627"/>
      <c r="K425" s="627"/>
      <c r="L425" s="627">
        <f>J425+K425</f>
        <v>0</v>
      </c>
      <c r="M425" s="83"/>
      <c r="N425" s="103">
        <f>L425+M425</f>
        <v>0</v>
      </c>
    </row>
    <row r="426" spans="1:18" ht="30" thickBot="1">
      <c r="A426" s="610" t="s">
        <v>424</v>
      </c>
      <c r="B426" s="611" t="s">
        <v>425</v>
      </c>
      <c r="C426" s="611"/>
      <c r="D426" s="611"/>
      <c r="E426" s="611"/>
      <c r="F426" s="611"/>
      <c r="G426" s="612" t="e">
        <f>G427+G484+G509+G569+G604+G623+G635+G476</f>
        <v>#REF!</v>
      </c>
      <c r="H426" s="612" t="e">
        <f>H427+H484+H509+H569+H604+H623+H635+H476</f>
        <v>#REF!</v>
      </c>
      <c r="I426" s="613" t="e">
        <f>I427+I484+I509+I569+I604+I623+I635+I476</f>
        <v>#REF!</v>
      </c>
      <c r="J426" s="633">
        <f>J427+J484+J509+J569+J604+J623+J635+J476+J668</f>
        <v>199105.10002999997</v>
      </c>
      <c r="K426" s="633">
        <f>K427+K484+K509+K569+K604+K623+K635+K476+K668</f>
        <v>41768.18103</v>
      </c>
      <c r="L426" s="633">
        <f>L427+L484+L509+L569+L604+L623+L635+L476+L668</f>
        <v>240873.28105999995</v>
      </c>
      <c r="M426" s="158" t="e">
        <f>M427+M484+M509+M569+M604+M623+M635+M476</f>
        <v>#REF!</v>
      </c>
      <c r="N426" s="90" t="e">
        <f>N427+N484+N509+N569+N604+N623+N635+N476</f>
        <v>#REF!</v>
      </c>
      <c r="O426" s="159">
        <f>L426-L442-L462-L467-L591</f>
        <v>235793.84596999994</v>
      </c>
      <c r="P426" s="159"/>
      <c r="R426" s="15"/>
    </row>
    <row r="427" spans="1:18" s="161" customFormat="1" ht="14.25">
      <c r="A427" s="176" t="s">
        <v>18</v>
      </c>
      <c r="B427" s="34" t="s">
        <v>425</v>
      </c>
      <c r="C427" s="34" t="s">
        <v>21</v>
      </c>
      <c r="D427" s="34"/>
      <c r="E427" s="34"/>
      <c r="F427" s="34"/>
      <c r="G427" s="588" t="e">
        <f>G428+G432+G438+G449+G454+G470</f>
        <v>#REF!</v>
      </c>
      <c r="H427" s="588">
        <f t="shared" ref="H427:N427" si="142">H428+H432+H438+H454+H470+H453</f>
        <v>12549.96</v>
      </c>
      <c r="I427" s="588">
        <f t="shared" si="142"/>
        <v>0</v>
      </c>
      <c r="J427" s="379">
        <f>J428+J432+J438+J454+J470+J453+J460</f>
        <v>20740.321929999995</v>
      </c>
      <c r="K427" s="379">
        <f>K428+K432+K438+K454+K470+K453+K460</f>
        <v>-560.54600000000005</v>
      </c>
      <c r="L427" s="379">
        <f>L428+L432+L438+L454+L470+L453+L460</f>
        <v>20179.775929999996</v>
      </c>
      <c r="M427" s="21">
        <f t="shared" si="142"/>
        <v>-176.62</v>
      </c>
      <c r="N427" s="92">
        <f t="shared" si="142"/>
        <v>17674.63005</v>
      </c>
      <c r="O427" s="160">
        <f>SUM(J426:K426)</f>
        <v>240873.28105999998</v>
      </c>
    </row>
    <row r="428" spans="1:18" s="113" customFormat="1" ht="57">
      <c r="A428" s="109" t="s">
        <v>426</v>
      </c>
      <c r="B428" s="25" t="s">
        <v>425</v>
      </c>
      <c r="C428" s="25" t="s">
        <v>21</v>
      </c>
      <c r="D428" s="25" t="s">
        <v>22</v>
      </c>
      <c r="E428" s="25"/>
      <c r="F428" s="25"/>
      <c r="G428" s="565">
        <f t="shared" ref="G428:N430" si="143">G429</f>
        <v>0</v>
      </c>
      <c r="H428" s="565">
        <f t="shared" si="143"/>
        <v>861</v>
      </c>
      <c r="I428" s="565">
        <f t="shared" si="143"/>
        <v>0</v>
      </c>
      <c r="J428" s="488">
        <f t="shared" si="143"/>
        <v>1080.095</v>
      </c>
      <c r="K428" s="488">
        <f t="shared" si="143"/>
        <v>0</v>
      </c>
      <c r="L428" s="488">
        <f t="shared" si="143"/>
        <v>1080.095</v>
      </c>
      <c r="M428" s="95">
        <f t="shared" si="143"/>
        <v>0</v>
      </c>
      <c r="N428" s="96">
        <f t="shared" si="143"/>
        <v>1080.095</v>
      </c>
    </row>
    <row r="429" spans="1:18" ht="30">
      <c r="A429" s="110" t="s">
        <v>411</v>
      </c>
      <c r="B429" s="26" t="s">
        <v>425</v>
      </c>
      <c r="C429" s="26" t="s">
        <v>21</v>
      </c>
      <c r="D429" s="26" t="s">
        <v>22</v>
      </c>
      <c r="E429" s="26" t="s">
        <v>191</v>
      </c>
      <c r="F429" s="26"/>
      <c r="G429" s="147">
        <f t="shared" si="143"/>
        <v>0</v>
      </c>
      <c r="H429" s="147">
        <f t="shared" si="143"/>
        <v>861</v>
      </c>
      <c r="I429" s="147">
        <f t="shared" si="143"/>
        <v>0</v>
      </c>
      <c r="J429" s="627">
        <f t="shared" si="143"/>
        <v>1080.095</v>
      </c>
      <c r="K429" s="627">
        <f t="shared" si="143"/>
        <v>0</v>
      </c>
      <c r="L429" s="627">
        <f t="shared" si="143"/>
        <v>1080.095</v>
      </c>
      <c r="M429" s="42">
        <f t="shared" si="143"/>
        <v>0</v>
      </c>
      <c r="N429" s="43">
        <f t="shared" si="143"/>
        <v>1080.095</v>
      </c>
    </row>
    <row r="430" spans="1:18">
      <c r="A430" s="110" t="s">
        <v>427</v>
      </c>
      <c r="B430" s="26" t="s">
        <v>425</v>
      </c>
      <c r="C430" s="26" t="s">
        <v>21</v>
      </c>
      <c r="D430" s="26" t="s">
        <v>22</v>
      </c>
      <c r="E430" s="26" t="s">
        <v>428</v>
      </c>
      <c r="F430" s="26"/>
      <c r="G430" s="147">
        <f t="shared" si="143"/>
        <v>0</v>
      </c>
      <c r="H430" s="147">
        <f t="shared" si="143"/>
        <v>861</v>
      </c>
      <c r="I430" s="147">
        <f t="shared" si="143"/>
        <v>0</v>
      </c>
      <c r="J430" s="627">
        <f t="shared" si="143"/>
        <v>1080.095</v>
      </c>
      <c r="K430" s="627">
        <f t="shared" si="143"/>
        <v>0</v>
      </c>
      <c r="L430" s="627">
        <f t="shared" si="143"/>
        <v>1080.095</v>
      </c>
      <c r="M430" s="42">
        <f t="shared" si="143"/>
        <v>0</v>
      </c>
      <c r="N430" s="43">
        <f t="shared" si="143"/>
        <v>1080.095</v>
      </c>
    </row>
    <row r="431" spans="1:18" ht="30">
      <c r="A431" s="116" t="s">
        <v>135</v>
      </c>
      <c r="B431" s="26" t="s">
        <v>425</v>
      </c>
      <c r="C431" s="26" t="s">
        <v>21</v>
      </c>
      <c r="D431" s="26" t="s">
        <v>22</v>
      </c>
      <c r="E431" s="26" t="s">
        <v>428</v>
      </c>
      <c r="F431" s="26" t="s">
        <v>133</v>
      </c>
      <c r="G431" s="147"/>
      <c r="H431" s="589">
        <v>861</v>
      </c>
      <c r="I431" s="147"/>
      <c r="J431" s="627">
        <v>1080.095</v>
      </c>
      <c r="K431" s="627"/>
      <c r="L431" s="627">
        <f>J431+K431</f>
        <v>1080.095</v>
      </c>
      <c r="M431" s="42"/>
      <c r="N431" s="30">
        <f>L431+M431</f>
        <v>1080.095</v>
      </c>
      <c r="O431" s="162">
        <v>1080.095</v>
      </c>
      <c r="P431" s="163">
        <f>L431-O431</f>
        <v>0</v>
      </c>
    </row>
    <row r="432" spans="1:18" s="113" customFormat="1" ht="85.5">
      <c r="A432" s="109" t="s">
        <v>429</v>
      </c>
      <c r="B432" s="25" t="s">
        <v>425</v>
      </c>
      <c r="C432" s="25" t="s">
        <v>21</v>
      </c>
      <c r="D432" s="25" t="s">
        <v>24</v>
      </c>
      <c r="E432" s="25"/>
      <c r="F432" s="25"/>
      <c r="G432" s="565">
        <f t="shared" ref="G432:N432" si="144">G433</f>
        <v>30</v>
      </c>
      <c r="H432" s="565">
        <f t="shared" si="144"/>
        <v>1353</v>
      </c>
      <c r="I432" s="565">
        <f t="shared" si="144"/>
        <v>0</v>
      </c>
      <c r="J432" s="488">
        <f t="shared" si="144"/>
        <v>1708.9490000000001</v>
      </c>
      <c r="K432" s="488">
        <f t="shared" si="144"/>
        <v>1.722</v>
      </c>
      <c r="L432" s="488">
        <f t="shared" si="144"/>
        <v>1710.671</v>
      </c>
      <c r="M432" s="95">
        <f t="shared" si="144"/>
        <v>0</v>
      </c>
      <c r="N432" s="96">
        <f t="shared" si="144"/>
        <v>1710.671</v>
      </c>
    </row>
    <row r="433" spans="1:19" ht="30">
      <c r="A433" s="110" t="s">
        <v>411</v>
      </c>
      <c r="B433" s="26" t="s">
        <v>425</v>
      </c>
      <c r="C433" s="26" t="s">
        <v>21</v>
      </c>
      <c r="D433" s="26" t="s">
        <v>24</v>
      </c>
      <c r="E433" s="26" t="s">
        <v>191</v>
      </c>
      <c r="F433" s="26"/>
      <c r="G433" s="147">
        <f t="shared" ref="G433:M433" si="145">G434+G436</f>
        <v>30</v>
      </c>
      <c r="H433" s="589">
        <f t="shared" si="145"/>
        <v>1353</v>
      </c>
      <c r="I433" s="147">
        <f t="shared" si="145"/>
        <v>0</v>
      </c>
      <c r="J433" s="627">
        <f t="shared" si="145"/>
        <v>1708.9490000000001</v>
      </c>
      <c r="K433" s="627">
        <f t="shared" si="145"/>
        <v>1.722</v>
      </c>
      <c r="L433" s="627">
        <f t="shared" si="145"/>
        <v>1710.671</v>
      </c>
      <c r="M433" s="42">
        <f t="shared" si="145"/>
        <v>0</v>
      </c>
      <c r="N433" s="43">
        <f>N434+N436</f>
        <v>1710.671</v>
      </c>
    </row>
    <row r="434" spans="1:19">
      <c r="A434" s="110" t="s">
        <v>192</v>
      </c>
      <c r="B434" s="26" t="s">
        <v>425</v>
      </c>
      <c r="C434" s="26" t="s">
        <v>21</v>
      </c>
      <c r="D434" s="26" t="s">
        <v>24</v>
      </c>
      <c r="E434" s="26" t="s">
        <v>193</v>
      </c>
      <c r="F434" s="26"/>
      <c r="G434" s="147">
        <f t="shared" ref="G434:N434" si="146">G435</f>
        <v>30</v>
      </c>
      <c r="H434" s="147">
        <f t="shared" si="146"/>
        <v>615</v>
      </c>
      <c r="I434" s="147">
        <f t="shared" si="146"/>
        <v>0</v>
      </c>
      <c r="J434" s="627">
        <f t="shared" si="146"/>
        <v>952.55200000000002</v>
      </c>
      <c r="K434" s="627">
        <f t="shared" si="146"/>
        <v>1.722</v>
      </c>
      <c r="L434" s="627">
        <f t="shared" si="146"/>
        <v>954.274</v>
      </c>
      <c r="M434" s="42">
        <f t="shared" si="146"/>
        <v>0</v>
      </c>
      <c r="N434" s="43">
        <f t="shared" si="146"/>
        <v>954.274</v>
      </c>
    </row>
    <row r="435" spans="1:19" ht="30">
      <c r="A435" s="110" t="s">
        <v>135</v>
      </c>
      <c r="B435" s="26" t="s">
        <v>425</v>
      </c>
      <c r="C435" s="26" t="s">
        <v>21</v>
      </c>
      <c r="D435" s="26" t="s">
        <v>24</v>
      </c>
      <c r="E435" s="26" t="s">
        <v>193</v>
      </c>
      <c r="F435" s="26" t="s">
        <v>133</v>
      </c>
      <c r="G435" s="147">
        <v>30</v>
      </c>
      <c r="H435" s="589">
        <v>615</v>
      </c>
      <c r="I435" s="147"/>
      <c r="J435" s="627">
        <v>952.55200000000002</v>
      </c>
      <c r="K435" s="627">
        <f>1.283+0.439</f>
        <v>1.722</v>
      </c>
      <c r="L435" s="627">
        <f>J435+K435</f>
        <v>954.274</v>
      </c>
      <c r="M435" s="42"/>
      <c r="N435" s="30">
        <f>L435+M435</f>
        <v>954.274</v>
      </c>
      <c r="O435" s="44">
        <v>885.05200000000002</v>
      </c>
      <c r="P435" s="45">
        <f>L435-O435</f>
        <v>69.22199999999998</v>
      </c>
      <c r="R435" s="11">
        <v>76.421999999999997</v>
      </c>
      <c r="S435" s="15">
        <f>L435-R435</f>
        <v>877.85199999999998</v>
      </c>
    </row>
    <row r="436" spans="1:19" ht="45">
      <c r="A436" s="164" t="s">
        <v>430</v>
      </c>
      <c r="B436" s="26" t="s">
        <v>425</v>
      </c>
      <c r="C436" s="26" t="s">
        <v>21</v>
      </c>
      <c r="D436" s="26" t="s">
        <v>24</v>
      </c>
      <c r="E436" s="26" t="s">
        <v>431</v>
      </c>
      <c r="F436" s="26"/>
      <c r="G436" s="147">
        <f t="shared" ref="G436:N436" si="147">G437</f>
        <v>0</v>
      </c>
      <c r="H436" s="589">
        <f t="shared" si="147"/>
        <v>738</v>
      </c>
      <c r="I436" s="147">
        <f t="shared" si="147"/>
        <v>0</v>
      </c>
      <c r="J436" s="627">
        <f t="shared" si="147"/>
        <v>756.39700000000005</v>
      </c>
      <c r="K436" s="627">
        <f t="shared" si="147"/>
        <v>0</v>
      </c>
      <c r="L436" s="627">
        <f t="shared" si="147"/>
        <v>756.39700000000005</v>
      </c>
      <c r="M436" s="42">
        <f t="shared" si="147"/>
        <v>0</v>
      </c>
      <c r="N436" s="30">
        <f t="shared" si="147"/>
        <v>756.39700000000005</v>
      </c>
    </row>
    <row r="437" spans="1:19" ht="30">
      <c r="A437" s="110" t="s">
        <v>135</v>
      </c>
      <c r="B437" s="26" t="s">
        <v>425</v>
      </c>
      <c r="C437" s="26" t="s">
        <v>21</v>
      </c>
      <c r="D437" s="26" t="s">
        <v>24</v>
      </c>
      <c r="E437" s="26" t="s">
        <v>431</v>
      </c>
      <c r="F437" s="26" t="s">
        <v>133</v>
      </c>
      <c r="G437" s="147"/>
      <c r="H437" s="589">
        <v>738</v>
      </c>
      <c r="I437" s="147"/>
      <c r="J437" s="627">
        <v>756.39700000000005</v>
      </c>
      <c r="K437" s="627"/>
      <c r="L437" s="627">
        <f>J437+K437</f>
        <v>756.39700000000005</v>
      </c>
      <c r="M437" s="42"/>
      <c r="N437" s="30">
        <f>L437+M437</f>
        <v>756.39700000000005</v>
      </c>
      <c r="O437" s="56">
        <v>756.39687600000002</v>
      </c>
      <c r="P437" s="45">
        <f>L437-O437</f>
        <v>1.2400000002799061E-4</v>
      </c>
    </row>
    <row r="438" spans="1:19" s="113" customFormat="1" ht="85.5">
      <c r="A438" s="109" t="s">
        <v>272</v>
      </c>
      <c r="B438" s="25" t="s">
        <v>425</v>
      </c>
      <c r="C438" s="25" t="s">
        <v>21</v>
      </c>
      <c r="D438" s="25" t="s">
        <v>26</v>
      </c>
      <c r="E438" s="25"/>
      <c r="F438" s="25"/>
      <c r="G438" s="565" t="e">
        <f>G443+G439+G441</f>
        <v>#REF!</v>
      </c>
      <c r="H438" s="206">
        <f t="shared" ref="H438:N438" si="148">H443+H439+H441+H447+H449</f>
        <v>10050.56</v>
      </c>
      <c r="I438" s="206">
        <f t="shared" si="148"/>
        <v>0</v>
      </c>
      <c r="J438" s="488">
        <f>J443+J439+J441+J447+J449</f>
        <v>15700.458999999999</v>
      </c>
      <c r="K438" s="488">
        <f t="shared" si="148"/>
        <v>-688.01800000000003</v>
      </c>
      <c r="L438" s="488">
        <f t="shared" si="148"/>
        <v>15012.440999999999</v>
      </c>
      <c r="M438" s="60">
        <f t="shared" si="148"/>
        <v>-88.62</v>
      </c>
      <c r="N438" s="98">
        <f t="shared" si="148"/>
        <v>14923.820999999998</v>
      </c>
    </row>
    <row r="439" spans="1:19" s="113" customFormat="1" ht="51.75" hidden="1" customHeight="1">
      <c r="A439" s="93" t="s">
        <v>432</v>
      </c>
      <c r="B439" s="26" t="s">
        <v>425</v>
      </c>
      <c r="C439" s="26" t="s">
        <v>21</v>
      </c>
      <c r="D439" s="26" t="s">
        <v>26</v>
      </c>
      <c r="E439" s="26" t="s">
        <v>433</v>
      </c>
      <c r="F439" s="26"/>
      <c r="G439" s="147">
        <f t="shared" ref="G439:N439" si="149">G440</f>
        <v>47.3</v>
      </c>
      <c r="H439" s="147">
        <f t="shared" si="149"/>
        <v>0</v>
      </c>
      <c r="I439" s="147">
        <f t="shared" si="149"/>
        <v>0</v>
      </c>
      <c r="J439" s="627">
        <f t="shared" si="149"/>
        <v>0</v>
      </c>
      <c r="K439" s="627">
        <f t="shared" si="149"/>
        <v>0</v>
      </c>
      <c r="L439" s="627">
        <f t="shared" si="149"/>
        <v>0</v>
      </c>
      <c r="M439" s="42">
        <f t="shared" si="149"/>
        <v>0</v>
      </c>
      <c r="N439" s="43">
        <f t="shared" si="149"/>
        <v>0</v>
      </c>
    </row>
    <row r="440" spans="1:19" s="113" customFormat="1" ht="30" hidden="1" customHeight="1">
      <c r="A440" s="110" t="s">
        <v>282</v>
      </c>
      <c r="B440" s="26" t="s">
        <v>425</v>
      </c>
      <c r="C440" s="26" t="s">
        <v>21</v>
      </c>
      <c r="D440" s="26" t="s">
        <v>26</v>
      </c>
      <c r="E440" s="26" t="s">
        <v>433</v>
      </c>
      <c r="F440" s="26" t="s">
        <v>234</v>
      </c>
      <c r="G440" s="147">
        <v>47.3</v>
      </c>
      <c r="H440" s="589"/>
      <c r="I440" s="147"/>
      <c r="J440" s="627">
        <f>H440+I440</f>
        <v>0</v>
      </c>
      <c r="K440" s="627">
        <f>49.6-49.6</f>
        <v>0</v>
      </c>
      <c r="L440" s="627">
        <f>J440+K440</f>
        <v>0</v>
      </c>
      <c r="M440" s="42">
        <f>49.6-49.6</f>
        <v>0</v>
      </c>
      <c r="N440" s="30">
        <f>L440+M440</f>
        <v>0</v>
      </c>
    </row>
    <row r="441" spans="1:19" s="113" customFormat="1" ht="75">
      <c r="A441" s="93" t="s">
        <v>188</v>
      </c>
      <c r="B441" s="26" t="s">
        <v>425</v>
      </c>
      <c r="C441" s="26" t="s">
        <v>21</v>
      </c>
      <c r="D441" s="26" t="s">
        <v>26</v>
      </c>
      <c r="E441" s="26" t="s">
        <v>189</v>
      </c>
      <c r="F441" s="26"/>
      <c r="G441" s="206" t="e">
        <f t="shared" ref="G441:N441" si="150">G442</f>
        <v>#REF!</v>
      </c>
      <c r="H441" s="592">
        <f t="shared" si="150"/>
        <v>0</v>
      </c>
      <c r="I441" s="206">
        <f t="shared" si="150"/>
        <v>0</v>
      </c>
      <c r="J441" s="627">
        <f t="shared" si="150"/>
        <v>1050</v>
      </c>
      <c r="K441" s="627">
        <f t="shared" si="150"/>
        <v>5.7</v>
      </c>
      <c r="L441" s="627">
        <f t="shared" si="150"/>
        <v>1055.7</v>
      </c>
      <c r="M441" s="60">
        <f t="shared" si="150"/>
        <v>0</v>
      </c>
      <c r="N441" s="55">
        <f t="shared" si="150"/>
        <v>1055.7</v>
      </c>
    </row>
    <row r="442" spans="1:19" s="113" customFormat="1" ht="30">
      <c r="A442" s="31" t="s">
        <v>135</v>
      </c>
      <c r="B442" s="26" t="s">
        <v>425</v>
      </c>
      <c r="C442" s="26" t="s">
        <v>21</v>
      </c>
      <c r="D442" s="26" t="s">
        <v>26</v>
      </c>
      <c r="E442" s="26" t="s">
        <v>189</v>
      </c>
      <c r="F442" s="26" t="s">
        <v>133</v>
      </c>
      <c r="G442" s="206" t="e">
        <f>H442-#REF!</f>
        <v>#REF!</v>
      </c>
      <c r="H442" s="592"/>
      <c r="I442" s="206"/>
      <c r="J442" s="627">
        <v>1050</v>
      </c>
      <c r="K442" s="627">
        <v>5.7</v>
      </c>
      <c r="L442" s="627">
        <f>J442+K442</f>
        <v>1055.7</v>
      </c>
      <c r="M442" s="60"/>
      <c r="N442" s="55">
        <f>L442+M442</f>
        <v>1055.7</v>
      </c>
      <c r="O442" s="113">
        <v>1050</v>
      </c>
      <c r="P442" s="146">
        <f>K442</f>
        <v>5.7</v>
      </c>
    </row>
    <row r="443" spans="1:19" ht="30">
      <c r="A443" s="110" t="s">
        <v>411</v>
      </c>
      <c r="B443" s="26" t="s">
        <v>425</v>
      </c>
      <c r="C443" s="26" t="s">
        <v>21</v>
      </c>
      <c r="D443" s="26" t="s">
        <v>26</v>
      </c>
      <c r="E443" s="26" t="s">
        <v>191</v>
      </c>
      <c r="F443" s="26"/>
      <c r="G443" s="147">
        <f t="shared" ref="G443:N443" si="151">G444</f>
        <v>1312.7</v>
      </c>
      <c r="H443" s="147">
        <f t="shared" si="151"/>
        <v>10050.56</v>
      </c>
      <c r="I443" s="147">
        <f t="shared" si="151"/>
        <v>0</v>
      </c>
      <c r="J443" s="627">
        <f t="shared" si="151"/>
        <v>14596.159</v>
      </c>
      <c r="K443" s="627">
        <f t="shared" si="151"/>
        <v>-693.71800000000007</v>
      </c>
      <c r="L443" s="627">
        <f t="shared" si="151"/>
        <v>13902.440999999999</v>
      </c>
      <c r="M443" s="42">
        <f t="shared" si="151"/>
        <v>-88.62</v>
      </c>
      <c r="N443" s="43">
        <f t="shared" si="151"/>
        <v>13813.820999999998</v>
      </c>
    </row>
    <row r="444" spans="1:19">
      <c r="A444" s="110" t="s">
        <v>192</v>
      </c>
      <c r="B444" s="26" t="s">
        <v>425</v>
      </c>
      <c r="C444" s="26" t="s">
        <v>21</v>
      </c>
      <c r="D444" s="26" t="s">
        <v>26</v>
      </c>
      <c r="E444" s="26" t="s">
        <v>193</v>
      </c>
      <c r="F444" s="26"/>
      <c r="G444" s="147">
        <f t="shared" ref="G444:M444" si="152">G445+G446</f>
        <v>1312.7</v>
      </c>
      <c r="H444" s="147">
        <f t="shared" si="152"/>
        <v>10050.56</v>
      </c>
      <c r="I444" s="147">
        <f t="shared" si="152"/>
        <v>0</v>
      </c>
      <c r="J444" s="627">
        <f t="shared" si="152"/>
        <v>14596.159</v>
      </c>
      <c r="K444" s="627">
        <f t="shared" si="152"/>
        <v>-693.71800000000007</v>
      </c>
      <c r="L444" s="627">
        <f t="shared" si="152"/>
        <v>13902.440999999999</v>
      </c>
      <c r="M444" s="42">
        <f t="shared" si="152"/>
        <v>-88.62</v>
      </c>
      <c r="N444" s="43">
        <f>N445+N446</f>
        <v>13813.820999999998</v>
      </c>
    </row>
    <row r="445" spans="1:19" ht="30" hidden="1">
      <c r="A445" s="110" t="s">
        <v>282</v>
      </c>
      <c r="B445" s="26" t="s">
        <v>425</v>
      </c>
      <c r="C445" s="26" t="s">
        <v>21</v>
      </c>
      <c r="D445" s="26" t="s">
        <v>26</v>
      </c>
      <c r="E445" s="26" t="s">
        <v>193</v>
      </c>
      <c r="F445" s="26" t="s">
        <v>234</v>
      </c>
      <c r="G445" s="147">
        <v>-47.3</v>
      </c>
      <c r="H445" s="147">
        <v>49.6</v>
      </c>
      <c r="I445" s="147"/>
      <c r="J445" s="627"/>
      <c r="K445" s="627"/>
      <c r="L445" s="627">
        <f>J445+K445</f>
        <v>0</v>
      </c>
      <c r="M445" s="42"/>
      <c r="N445" s="30">
        <f>L445+M445</f>
        <v>0</v>
      </c>
    </row>
    <row r="446" spans="1:19" ht="30">
      <c r="A446" s="110" t="s">
        <v>135</v>
      </c>
      <c r="B446" s="26" t="s">
        <v>425</v>
      </c>
      <c r="C446" s="26" t="s">
        <v>21</v>
      </c>
      <c r="D446" s="26" t="s">
        <v>26</v>
      </c>
      <c r="E446" s="26" t="s">
        <v>193</v>
      </c>
      <c r="F446" s="26" t="s">
        <v>133</v>
      </c>
      <c r="G446" s="147">
        <f>10-200+200+80.47+1300-0.47-80+50</f>
        <v>1360</v>
      </c>
      <c r="H446" s="147">
        <f>49.6+117.4+10087.47-203.91-49.6</f>
        <v>10000.959999999999</v>
      </c>
      <c r="I446" s="147"/>
      <c r="J446" s="627">
        <v>14596.159</v>
      </c>
      <c r="K446" s="627">
        <f>21.033+7.193-114+250-723.131+111.53+40.857-287.2</f>
        <v>-693.71800000000007</v>
      </c>
      <c r="L446" s="627">
        <f>J446+K446</f>
        <v>13902.440999999999</v>
      </c>
      <c r="M446" s="28">
        <f>-176.62+88</f>
        <v>-88.62</v>
      </c>
      <c r="N446" s="30">
        <f>L446+M446</f>
        <v>13813.820999999998</v>
      </c>
      <c r="O446" s="56">
        <v>14307.865</v>
      </c>
      <c r="P446" s="45">
        <f>L446-O446</f>
        <v>-405.42400000000089</v>
      </c>
    </row>
    <row r="447" spans="1:19" ht="47.25" customHeight="1">
      <c r="A447" s="110" t="s">
        <v>432</v>
      </c>
      <c r="B447" s="34" t="s">
        <v>425</v>
      </c>
      <c r="C447" s="34" t="s">
        <v>21</v>
      </c>
      <c r="D447" s="26" t="s">
        <v>26</v>
      </c>
      <c r="E447" s="26" t="s">
        <v>433</v>
      </c>
      <c r="F447" s="26"/>
      <c r="G447" s="585"/>
      <c r="H447" s="589">
        <f t="shared" ref="H447:N447" si="153">H448</f>
        <v>0</v>
      </c>
      <c r="I447" s="589">
        <f t="shared" si="153"/>
        <v>0</v>
      </c>
      <c r="J447" s="627">
        <f t="shared" si="153"/>
        <v>54.3</v>
      </c>
      <c r="K447" s="627">
        <f t="shared" si="153"/>
        <v>0</v>
      </c>
      <c r="L447" s="627">
        <f t="shared" si="153"/>
        <v>54.3</v>
      </c>
      <c r="M447" s="29">
        <f t="shared" si="153"/>
        <v>0</v>
      </c>
      <c r="N447" s="30">
        <f t="shared" si="153"/>
        <v>54.3</v>
      </c>
    </row>
    <row r="448" spans="1:19" ht="29.25" customHeight="1">
      <c r="A448" s="31" t="s">
        <v>135</v>
      </c>
      <c r="B448" s="34" t="s">
        <v>425</v>
      </c>
      <c r="C448" s="34" t="s">
        <v>21</v>
      </c>
      <c r="D448" s="26" t="s">
        <v>26</v>
      </c>
      <c r="E448" s="26" t="s">
        <v>433</v>
      </c>
      <c r="F448" s="26" t="s">
        <v>133</v>
      </c>
      <c r="G448" s="585"/>
      <c r="H448" s="589"/>
      <c r="I448" s="585"/>
      <c r="J448" s="627">
        <v>54.3</v>
      </c>
      <c r="K448" s="379"/>
      <c r="L448" s="627">
        <f>J448+K448</f>
        <v>54.3</v>
      </c>
      <c r="M448" s="40"/>
      <c r="N448" s="30">
        <f>L448+M448</f>
        <v>54.3</v>
      </c>
    </row>
    <row r="449" spans="1:16" ht="14.25" hidden="1" customHeight="1">
      <c r="A449" s="110" t="s">
        <v>434</v>
      </c>
      <c r="B449" s="34" t="s">
        <v>425</v>
      </c>
      <c r="C449" s="34" t="s">
        <v>21</v>
      </c>
      <c r="D449" s="26" t="s">
        <v>26</v>
      </c>
      <c r="E449" s="26" t="s">
        <v>279</v>
      </c>
      <c r="F449" s="26"/>
      <c r="G449" s="585"/>
      <c r="H449" s="589">
        <f t="shared" ref="H449:N449" si="154">H450</f>
        <v>0</v>
      </c>
      <c r="I449" s="589">
        <f t="shared" si="154"/>
        <v>0</v>
      </c>
      <c r="J449" s="627">
        <f t="shared" si="154"/>
        <v>0</v>
      </c>
      <c r="K449" s="627">
        <f t="shared" si="154"/>
        <v>0</v>
      </c>
      <c r="L449" s="627">
        <f t="shared" si="154"/>
        <v>0</v>
      </c>
      <c r="M449" s="29">
        <f t="shared" si="154"/>
        <v>0</v>
      </c>
      <c r="N449" s="30">
        <f t="shared" si="154"/>
        <v>0</v>
      </c>
    </row>
    <row r="450" spans="1:16" ht="14.25" hidden="1" customHeight="1">
      <c r="A450" s="111" t="s">
        <v>277</v>
      </c>
      <c r="B450" s="34" t="s">
        <v>425</v>
      </c>
      <c r="C450" s="34" t="s">
        <v>21</v>
      </c>
      <c r="D450" s="26" t="s">
        <v>26</v>
      </c>
      <c r="E450" s="26" t="s">
        <v>279</v>
      </c>
      <c r="F450" s="26" t="s">
        <v>133</v>
      </c>
      <c r="G450" s="585"/>
      <c r="H450" s="589"/>
      <c r="I450" s="585"/>
      <c r="J450" s="627">
        <f>H450+I450</f>
        <v>0</v>
      </c>
      <c r="K450" s="379"/>
      <c r="L450" s="627">
        <f>J450+K450</f>
        <v>0</v>
      </c>
      <c r="M450" s="40"/>
      <c r="N450" s="30">
        <f>L450+M450</f>
        <v>0</v>
      </c>
    </row>
    <row r="451" spans="1:16" ht="18" hidden="1" customHeight="1">
      <c r="A451" s="165" t="s">
        <v>27</v>
      </c>
      <c r="B451" s="166" t="s">
        <v>425</v>
      </c>
      <c r="C451" s="166" t="s">
        <v>21</v>
      </c>
      <c r="D451" s="166" t="s">
        <v>28</v>
      </c>
      <c r="E451" s="167"/>
      <c r="F451" s="167"/>
      <c r="G451" s="585"/>
      <c r="H451" s="589">
        <f>H452</f>
        <v>0</v>
      </c>
      <c r="I451" s="589">
        <f t="shared" ref="I451:N452" si="155">I452</f>
        <v>0</v>
      </c>
      <c r="J451" s="627">
        <f t="shared" si="155"/>
        <v>0</v>
      </c>
      <c r="K451" s="627">
        <f t="shared" si="155"/>
        <v>0</v>
      </c>
      <c r="L451" s="627">
        <f t="shared" si="155"/>
        <v>0</v>
      </c>
      <c r="M451" s="168">
        <f t="shared" si="155"/>
        <v>0</v>
      </c>
      <c r="N451" s="49">
        <f t="shared" si="155"/>
        <v>0</v>
      </c>
    </row>
    <row r="452" spans="1:16" ht="17.25" hidden="1" customHeight="1">
      <c r="A452" s="31" t="s">
        <v>435</v>
      </c>
      <c r="B452" s="169" t="s">
        <v>425</v>
      </c>
      <c r="C452" s="169" t="s">
        <v>21</v>
      </c>
      <c r="D452" s="169" t="s">
        <v>28</v>
      </c>
      <c r="E452" s="169" t="s">
        <v>436</v>
      </c>
      <c r="F452" s="169"/>
      <c r="G452" s="585"/>
      <c r="H452" s="589">
        <f>H453</f>
        <v>0</v>
      </c>
      <c r="I452" s="589">
        <f t="shared" si="155"/>
        <v>0</v>
      </c>
      <c r="J452" s="627">
        <f t="shared" si="155"/>
        <v>0</v>
      </c>
      <c r="K452" s="627">
        <f t="shared" si="155"/>
        <v>0</v>
      </c>
      <c r="L452" s="627">
        <f t="shared" si="155"/>
        <v>0</v>
      </c>
      <c r="M452" s="29">
        <f t="shared" si="155"/>
        <v>0</v>
      </c>
      <c r="N452" s="30">
        <f t="shared" si="155"/>
        <v>0</v>
      </c>
    </row>
    <row r="453" spans="1:16" ht="15" hidden="1" customHeight="1">
      <c r="A453" s="110" t="s">
        <v>132</v>
      </c>
      <c r="B453" s="26" t="s">
        <v>425</v>
      </c>
      <c r="C453" s="26" t="s">
        <v>21</v>
      </c>
      <c r="D453" s="26" t="s">
        <v>28</v>
      </c>
      <c r="E453" s="26" t="s">
        <v>436</v>
      </c>
      <c r="F453" s="26" t="s">
        <v>234</v>
      </c>
      <c r="G453" s="147"/>
      <c r="H453" s="589"/>
      <c r="I453" s="147"/>
      <c r="J453" s="627">
        <f>H453+I453</f>
        <v>0</v>
      </c>
      <c r="K453" s="627"/>
      <c r="L453" s="627">
        <f>J453+K453</f>
        <v>0</v>
      </c>
      <c r="M453" s="118"/>
      <c r="N453" s="117">
        <f>L453+M453</f>
        <v>0</v>
      </c>
    </row>
    <row r="454" spans="1:16" s="113" customFormat="1" ht="29.25" customHeight="1">
      <c r="A454" s="109" t="s">
        <v>437</v>
      </c>
      <c r="B454" s="25" t="s">
        <v>425</v>
      </c>
      <c r="C454" s="25" t="s">
        <v>21</v>
      </c>
      <c r="D454" s="25" t="s">
        <v>32</v>
      </c>
      <c r="E454" s="170"/>
      <c r="F454" s="25"/>
      <c r="G454" s="565">
        <f t="shared" ref="G454:N458" si="156">G455</f>
        <v>0</v>
      </c>
      <c r="H454" s="565">
        <f t="shared" si="156"/>
        <v>20</v>
      </c>
      <c r="I454" s="565">
        <f t="shared" si="156"/>
        <v>0</v>
      </c>
      <c r="J454" s="488">
        <f>J455</f>
        <v>164.28892999999999</v>
      </c>
      <c r="K454" s="488">
        <f t="shared" si="156"/>
        <v>-30</v>
      </c>
      <c r="L454" s="488">
        <f t="shared" si="156"/>
        <v>134.28892999999999</v>
      </c>
      <c r="M454" s="95">
        <f t="shared" si="156"/>
        <v>0</v>
      </c>
      <c r="N454" s="96">
        <f t="shared" si="156"/>
        <v>48.043049999999994</v>
      </c>
    </row>
    <row r="455" spans="1:16" ht="32.25" customHeight="1">
      <c r="A455" s="110" t="s">
        <v>438</v>
      </c>
      <c r="B455" s="26" t="s">
        <v>425</v>
      </c>
      <c r="C455" s="26" t="s">
        <v>21</v>
      </c>
      <c r="D455" s="26" t="s">
        <v>32</v>
      </c>
      <c r="E455" s="127" t="s">
        <v>439</v>
      </c>
      <c r="F455" s="26"/>
      <c r="G455" s="147">
        <f>G458</f>
        <v>0</v>
      </c>
      <c r="H455" s="147">
        <f>H458</f>
        <v>20</v>
      </c>
      <c r="I455" s="147">
        <f>I458</f>
        <v>0</v>
      </c>
      <c r="J455" s="627">
        <f>J458+J456</f>
        <v>164.28892999999999</v>
      </c>
      <c r="K455" s="627">
        <f>K458+K456</f>
        <v>-30</v>
      </c>
      <c r="L455" s="627">
        <f>L458+L456</f>
        <v>134.28892999999999</v>
      </c>
      <c r="M455" s="42">
        <f>M458</f>
        <v>0</v>
      </c>
      <c r="N455" s="43">
        <f>N458</f>
        <v>48.043049999999994</v>
      </c>
    </row>
    <row r="456" spans="1:16" ht="43.5" customHeight="1">
      <c r="A456" s="62" t="s">
        <v>440</v>
      </c>
      <c r="B456" s="26" t="s">
        <v>425</v>
      </c>
      <c r="C456" s="26" t="s">
        <v>21</v>
      </c>
      <c r="D456" s="26" t="s">
        <v>32</v>
      </c>
      <c r="E456" s="26" t="s">
        <v>441</v>
      </c>
      <c r="F456" s="26"/>
      <c r="G456" s="147">
        <f t="shared" si="156"/>
        <v>0</v>
      </c>
      <c r="H456" s="147">
        <f t="shared" si="156"/>
        <v>20</v>
      </c>
      <c r="I456" s="147">
        <f t="shared" si="156"/>
        <v>0</v>
      </c>
      <c r="J456" s="627">
        <f t="shared" si="156"/>
        <v>111.34217</v>
      </c>
      <c r="K456" s="627">
        <f t="shared" si="156"/>
        <v>-25.09629</v>
      </c>
      <c r="L456" s="627">
        <f t="shared" si="156"/>
        <v>86.24588</v>
      </c>
      <c r="M456" s="42"/>
      <c r="N456" s="43"/>
    </row>
    <row r="457" spans="1:16" ht="27" customHeight="1">
      <c r="A457" s="110" t="s">
        <v>135</v>
      </c>
      <c r="B457" s="26" t="s">
        <v>425</v>
      </c>
      <c r="C457" s="26" t="s">
        <v>21</v>
      </c>
      <c r="D457" s="26" t="s">
        <v>32</v>
      </c>
      <c r="E457" s="26" t="s">
        <v>441</v>
      </c>
      <c r="F457" s="26" t="s">
        <v>133</v>
      </c>
      <c r="G457" s="147"/>
      <c r="H457" s="147">
        <v>20</v>
      </c>
      <c r="I457" s="147"/>
      <c r="J457" s="627">
        <v>111.34217</v>
      </c>
      <c r="K457" s="627">
        <f>-25.09629</f>
        <v>-25.09629</v>
      </c>
      <c r="L457" s="627">
        <f>J457+K457</f>
        <v>86.24588</v>
      </c>
      <c r="M457" s="42"/>
      <c r="N457" s="43"/>
    </row>
    <row r="458" spans="1:16" ht="30" customHeight="1">
      <c r="A458" s="110" t="s">
        <v>442</v>
      </c>
      <c r="B458" s="26" t="s">
        <v>425</v>
      </c>
      <c r="C458" s="26" t="s">
        <v>21</v>
      </c>
      <c r="D458" s="26" t="s">
        <v>32</v>
      </c>
      <c r="E458" s="26" t="s">
        <v>443</v>
      </c>
      <c r="F458" s="26"/>
      <c r="G458" s="147">
        <f t="shared" si="156"/>
        <v>0</v>
      </c>
      <c r="H458" s="147">
        <f t="shared" si="156"/>
        <v>20</v>
      </c>
      <c r="I458" s="147">
        <f t="shared" si="156"/>
        <v>0</v>
      </c>
      <c r="J458" s="627">
        <f t="shared" si="156"/>
        <v>52.946759999999998</v>
      </c>
      <c r="K458" s="627">
        <f t="shared" si="156"/>
        <v>-4.9037100000000002</v>
      </c>
      <c r="L458" s="627">
        <f t="shared" si="156"/>
        <v>48.043049999999994</v>
      </c>
      <c r="M458" s="42">
        <f t="shared" si="156"/>
        <v>0</v>
      </c>
      <c r="N458" s="43">
        <f t="shared" si="156"/>
        <v>48.043049999999994</v>
      </c>
    </row>
    <row r="459" spans="1:16" ht="31.5" customHeight="1">
      <c r="A459" s="110" t="s">
        <v>135</v>
      </c>
      <c r="B459" s="26" t="s">
        <v>425</v>
      </c>
      <c r="C459" s="26" t="s">
        <v>21</v>
      </c>
      <c r="D459" s="26" t="s">
        <v>32</v>
      </c>
      <c r="E459" s="26" t="s">
        <v>443</v>
      </c>
      <c r="F459" s="26" t="s">
        <v>133</v>
      </c>
      <c r="G459" s="147"/>
      <c r="H459" s="147">
        <v>20</v>
      </c>
      <c r="I459" s="147"/>
      <c r="J459" s="627">
        <v>52.946759999999998</v>
      </c>
      <c r="K459" s="627">
        <f>25.09629-30</f>
        <v>-4.9037100000000002</v>
      </c>
      <c r="L459" s="627">
        <f>J459+K459</f>
        <v>48.043049999999994</v>
      </c>
      <c r="M459" s="42"/>
      <c r="N459" s="30">
        <f>L459+M459</f>
        <v>48.043049999999994</v>
      </c>
    </row>
    <row r="460" spans="1:16" ht="25.5" customHeight="1">
      <c r="A460" s="171" t="s">
        <v>38</v>
      </c>
      <c r="B460" s="172" t="s">
        <v>425</v>
      </c>
      <c r="C460" s="172" t="s">
        <v>21</v>
      </c>
      <c r="D460" s="172" t="s">
        <v>37</v>
      </c>
      <c r="E460" s="172"/>
      <c r="F460" s="172"/>
      <c r="G460" s="205">
        <f>G463+G461</f>
        <v>0</v>
      </c>
      <c r="H460" s="205">
        <f>H463+H461</f>
        <v>265.39999999999998</v>
      </c>
      <c r="I460" s="205">
        <f>I463+I461</f>
        <v>0</v>
      </c>
      <c r="J460" s="488">
        <f>J463+J461+J466+J468</f>
        <v>2086.5299999999997</v>
      </c>
      <c r="K460" s="488">
        <f>K463+K461+K466+K468</f>
        <v>155.75</v>
      </c>
      <c r="L460" s="488">
        <f>L463+L461+L466+L468</f>
        <v>2242.2799999999997</v>
      </c>
      <c r="M460" s="42"/>
      <c r="N460" s="30"/>
    </row>
    <row r="461" spans="1:16" ht="30.75" customHeight="1">
      <c r="A461" s="173" t="s">
        <v>444</v>
      </c>
      <c r="B461" s="127" t="s">
        <v>425</v>
      </c>
      <c r="C461" s="127" t="s">
        <v>21</v>
      </c>
      <c r="D461" s="127" t="s">
        <v>37</v>
      </c>
      <c r="E461" s="127" t="s">
        <v>433</v>
      </c>
      <c r="F461" s="127"/>
      <c r="G461" s="67">
        <f t="shared" ref="G461:L461" si="157">G462</f>
        <v>195</v>
      </c>
      <c r="H461" s="67">
        <f t="shared" si="157"/>
        <v>0</v>
      </c>
      <c r="I461" s="67">
        <f t="shared" si="157"/>
        <v>0</v>
      </c>
      <c r="J461" s="627">
        <f t="shared" si="157"/>
        <v>413</v>
      </c>
      <c r="K461" s="627">
        <f t="shared" si="157"/>
        <v>0</v>
      </c>
      <c r="L461" s="627">
        <f t="shared" si="157"/>
        <v>413</v>
      </c>
      <c r="M461" s="42"/>
      <c r="N461" s="30"/>
    </row>
    <row r="462" spans="1:16" ht="28.5" customHeight="1">
      <c r="A462" s="174" t="s">
        <v>141</v>
      </c>
      <c r="B462" s="127" t="s">
        <v>425</v>
      </c>
      <c r="C462" s="127" t="s">
        <v>21</v>
      </c>
      <c r="D462" s="127" t="s">
        <v>37</v>
      </c>
      <c r="E462" s="127" t="s">
        <v>445</v>
      </c>
      <c r="F462" s="127" t="s">
        <v>142</v>
      </c>
      <c r="G462" s="67">
        <v>195</v>
      </c>
      <c r="H462" s="66"/>
      <c r="I462" s="67"/>
      <c r="J462" s="627">
        <v>413</v>
      </c>
      <c r="K462" s="627"/>
      <c r="L462" s="627">
        <f>J462+K462</f>
        <v>413</v>
      </c>
      <c r="M462" s="42"/>
      <c r="N462" s="30"/>
      <c r="O462" s="11">
        <v>413</v>
      </c>
      <c r="P462" s="15">
        <f>K462</f>
        <v>0</v>
      </c>
    </row>
    <row r="463" spans="1:16" ht="43.5" customHeight="1">
      <c r="A463" s="174" t="s">
        <v>446</v>
      </c>
      <c r="B463" s="127" t="s">
        <v>425</v>
      </c>
      <c r="C463" s="127" t="s">
        <v>21</v>
      </c>
      <c r="D463" s="127" t="s">
        <v>37</v>
      </c>
      <c r="E463" s="127" t="s">
        <v>447</v>
      </c>
      <c r="F463" s="127"/>
      <c r="G463" s="67">
        <f t="shared" ref="G463:L464" si="158">G464</f>
        <v>-195</v>
      </c>
      <c r="H463" s="67">
        <f t="shared" si="158"/>
        <v>265.39999999999998</v>
      </c>
      <c r="I463" s="67">
        <f t="shared" si="158"/>
        <v>0</v>
      </c>
      <c r="J463" s="627">
        <f t="shared" si="158"/>
        <v>112.73</v>
      </c>
      <c r="K463" s="627">
        <f t="shared" si="158"/>
        <v>0</v>
      </c>
      <c r="L463" s="627">
        <f t="shared" si="158"/>
        <v>112.73</v>
      </c>
      <c r="M463" s="42"/>
      <c r="N463" s="30"/>
    </row>
    <row r="464" spans="1:16" ht="27.75" customHeight="1">
      <c r="A464" s="174" t="s">
        <v>145</v>
      </c>
      <c r="B464" s="127" t="s">
        <v>425</v>
      </c>
      <c r="C464" s="127" t="s">
        <v>21</v>
      </c>
      <c r="D464" s="127" t="s">
        <v>37</v>
      </c>
      <c r="E464" s="127" t="s">
        <v>448</v>
      </c>
      <c r="F464" s="127"/>
      <c r="G464" s="67">
        <f t="shared" si="158"/>
        <v>-195</v>
      </c>
      <c r="H464" s="67">
        <f t="shared" si="158"/>
        <v>265.39999999999998</v>
      </c>
      <c r="I464" s="67">
        <f t="shared" si="158"/>
        <v>0</v>
      </c>
      <c r="J464" s="627">
        <f t="shared" si="158"/>
        <v>112.73</v>
      </c>
      <c r="K464" s="627">
        <f t="shared" si="158"/>
        <v>0</v>
      </c>
      <c r="L464" s="627">
        <f t="shared" si="158"/>
        <v>112.73</v>
      </c>
      <c r="M464" s="42"/>
      <c r="N464" s="30"/>
    </row>
    <row r="465" spans="1:19" ht="27.75" customHeight="1">
      <c r="A465" s="174" t="s">
        <v>141</v>
      </c>
      <c r="B465" s="127" t="s">
        <v>425</v>
      </c>
      <c r="C465" s="127" t="s">
        <v>21</v>
      </c>
      <c r="D465" s="127" t="s">
        <v>37</v>
      </c>
      <c r="E465" s="127" t="s">
        <v>448</v>
      </c>
      <c r="F465" s="127" t="s">
        <v>142</v>
      </c>
      <c r="G465" s="67">
        <v>-195</v>
      </c>
      <c r="H465" s="67">
        <f>204.4+61</f>
        <v>265.39999999999998</v>
      </c>
      <c r="I465" s="67"/>
      <c r="J465" s="627">
        <v>112.73</v>
      </c>
      <c r="K465" s="627"/>
      <c r="L465" s="627">
        <f>J465+K465</f>
        <v>112.73</v>
      </c>
      <c r="M465" s="42"/>
      <c r="N465" s="30"/>
      <c r="O465" s="11">
        <v>112.73</v>
      </c>
    </row>
    <row r="466" spans="1:19" ht="42" customHeight="1">
      <c r="A466" s="174" t="s">
        <v>449</v>
      </c>
      <c r="B466" s="127" t="s">
        <v>425</v>
      </c>
      <c r="C466" s="127" t="s">
        <v>21</v>
      </c>
      <c r="D466" s="127" t="s">
        <v>37</v>
      </c>
      <c r="E466" s="127" t="s">
        <v>450</v>
      </c>
      <c r="F466" s="127"/>
      <c r="G466" s="67"/>
      <c r="H466" s="66"/>
      <c r="I466" s="67"/>
      <c r="J466" s="627">
        <f>J467</f>
        <v>175.8</v>
      </c>
      <c r="K466" s="627">
        <f>K467</f>
        <v>0</v>
      </c>
      <c r="L466" s="627">
        <f>L467</f>
        <v>175.8</v>
      </c>
      <c r="M466" s="42"/>
      <c r="N466" s="30"/>
    </row>
    <row r="467" spans="1:19" s="387" customFormat="1" ht="27.75" customHeight="1">
      <c r="A467" s="174" t="s">
        <v>135</v>
      </c>
      <c r="B467" s="127" t="s">
        <v>425</v>
      </c>
      <c r="C467" s="127" t="s">
        <v>21</v>
      </c>
      <c r="D467" s="127" t="s">
        <v>37</v>
      </c>
      <c r="E467" s="127" t="s">
        <v>450</v>
      </c>
      <c r="F467" s="127" t="s">
        <v>133</v>
      </c>
      <c r="G467" s="67"/>
      <c r="H467" s="66"/>
      <c r="I467" s="67"/>
      <c r="J467" s="627">
        <v>175.8</v>
      </c>
      <c r="K467" s="627"/>
      <c r="L467" s="627">
        <f>J467+K467</f>
        <v>175.8</v>
      </c>
      <c r="M467" s="385"/>
      <c r="N467" s="386"/>
      <c r="O467" s="387">
        <v>175.8</v>
      </c>
      <c r="P467" s="389">
        <f>K467</f>
        <v>0</v>
      </c>
      <c r="Q467" s="388"/>
      <c r="R467" s="388" t="s">
        <v>1078</v>
      </c>
      <c r="S467" s="388"/>
    </row>
    <row r="468" spans="1:19" ht="42" customHeight="1">
      <c r="A468" s="110" t="s">
        <v>225</v>
      </c>
      <c r="B468" s="26" t="s">
        <v>425</v>
      </c>
      <c r="C468" s="26" t="s">
        <v>21</v>
      </c>
      <c r="D468" s="26" t="s">
        <v>37</v>
      </c>
      <c r="E468" s="26" t="s">
        <v>226</v>
      </c>
      <c r="F468" s="26"/>
      <c r="G468" s="67"/>
      <c r="H468" s="66"/>
      <c r="I468" s="67"/>
      <c r="J468" s="627">
        <f>J469</f>
        <v>1385</v>
      </c>
      <c r="K468" s="627">
        <f>K469</f>
        <v>155.75</v>
      </c>
      <c r="L468" s="627">
        <f>L469</f>
        <v>1540.75</v>
      </c>
      <c r="M468" s="42"/>
      <c r="N468" s="30"/>
      <c r="P468" s="15"/>
    </row>
    <row r="469" spans="1:19" ht="27.75" customHeight="1">
      <c r="A469" s="110" t="s">
        <v>135</v>
      </c>
      <c r="B469" s="26" t="s">
        <v>425</v>
      </c>
      <c r="C469" s="26" t="s">
        <v>21</v>
      </c>
      <c r="D469" s="26" t="s">
        <v>37</v>
      </c>
      <c r="E469" s="26" t="s">
        <v>226</v>
      </c>
      <c r="F469" s="26" t="s">
        <v>133</v>
      </c>
      <c r="G469" s="67"/>
      <c r="H469" s="66"/>
      <c r="I469" s="67"/>
      <c r="J469" s="627">
        <v>1385</v>
      </c>
      <c r="K469" s="627">
        <f>-40+101.25+94.5</f>
        <v>155.75</v>
      </c>
      <c r="L469" s="627">
        <f>J469+K469</f>
        <v>1540.75</v>
      </c>
      <c r="M469" s="42"/>
      <c r="N469" s="30"/>
      <c r="P469" s="15"/>
    </row>
    <row r="470" spans="1:19" s="113" customFormat="1" ht="28.5" hidden="1">
      <c r="A470" s="109" t="s">
        <v>38</v>
      </c>
      <c r="B470" s="25" t="s">
        <v>425</v>
      </c>
      <c r="C470" s="25" t="s">
        <v>21</v>
      </c>
      <c r="D470" s="25" t="s">
        <v>39</v>
      </c>
      <c r="E470" s="25"/>
      <c r="F470" s="25"/>
      <c r="G470" s="565">
        <f t="shared" ref="G470:M470" si="159">G473+G471</f>
        <v>0</v>
      </c>
      <c r="H470" s="565">
        <f t="shared" si="159"/>
        <v>265.39999999999998</v>
      </c>
      <c r="I470" s="565">
        <f t="shared" si="159"/>
        <v>0</v>
      </c>
      <c r="J470" s="488">
        <f t="shared" si="159"/>
        <v>0</v>
      </c>
      <c r="K470" s="488">
        <f t="shared" si="159"/>
        <v>0</v>
      </c>
      <c r="L470" s="488">
        <f t="shared" si="159"/>
        <v>0</v>
      </c>
      <c r="M470" s="95">
        <f t="shared" si="159"/>
        <v>-88</v>
      </c>
      <c r="N470" s="96">
        <f>N473+N471</f>
        <v>-88</v>
      </c>
    </row>
    <row r="471" spans="1:19" s="113" customFormat="1" ht="44.25" hidden="1" customHeight="1">
      <c r="A471" s="93" t="s">
        <v>444</v>
      </c>
      <c r="B471" s="26" t="s">
        <v>425</v>
      </c>
      <c r="C471" s="26" t="s">
        <v>21</v>
      </c>
      <c r="D471" s="26" t="s">
        <v>39</v>
      </c>
      <c r="E471" s="26" t="s">
        <v>433</v>
      </c>
      <c r="F471" s="26"/>
      <c r="G471" s="147">
        <f t="shared" ref="G471:N471" si="160">G472</f>
        <v>195</v>
      </c>
      <c r="H471" s="147">
        <f t="shared" si="160"/>
        <v>0</v>
      </c>
      <c r="I471" s="147">
        <f t="shared" si="160"/>
        <v>0</v>
      </c>
      <c r="J471" s="627">
        <f t="shared" si="160"/>
        <v>0</v>
      </c>
      <c r="K471" s="627">
        <f t="shared" si="160"/>
        <v>0</v>
      </c>
      <c r="L471" s="627">
        <f t="shared" si="160"/>
        <v>0</v>
      </c>
      <c r="M471" s="42">
        <f t="shared" si="160"/>
        <v>0</v>
      </c>
      <c r="N471" s="43">
        <f t="shared" si="160"/>
        <v>0</v>
      </c>
    </row>
    <row r="472" spans="1:19" s="113" customFormat="1" ht="30.75" hidden="1" customHeight="1">
      <c r="A472" s="110" t="s">
        <v>141</v>
      </c>
      <c r="B472" s="26" t="s">
        <v>425</v>
      </c>
      <c r="C472" s="26" t="s">
        <v>21</v>
      </c>
      <c r="D472" s="26" t="s">
        <v>39</v>
      </c>
      <c r="E472" s="26" t="s">
        <v>445</v>
      </c>
      <c r="F472" s="26" t="s">
        <v>142</v>
      </c>
      <c r="G472" s="147">
        <v>195</v>
      </c>
      <c r="H472" s="589"/>
      <c r="I472" s="147"/>
      <c r="J472" s="627"/>
      <c r="K472" s="627"/>
      <c r="L472" s="627">
        <f>J472+K472</f>
        <v>0</v>
      </c>
      <c r="M472" s="42"/>
      <c r="N472" s="30">
        <f>L472+M472</f>
        <v>0</v>
      </c>
      <c r="P472" s="146">
        <f>K472</f>
        <v>0</v>
      </c>
    </row>
    <row r="473" spans="1:19" ht="45" hidden="1">
      <c r="A473" s="110" t="s">
        <v>446</v>
      </c>
      <c r="B473" s="26" t="s">
        <v>425</v>
      </c>
      <c r="C473" s="26" t="s">
        <v>21</v>
      </c>
      <c r="D473" s="26" t="s">
        <v>39</v>
      </c>
      <c r="E473" s="26" t="s">
        <v>447</v>
      </c>
      <c r="F473" s="26"/>
      <c r="G473" s="147">
        <f t="shared" ref="G473:N474" si="161">G474</f>
        <v>-195</v>
      </c>
      <c r="H473" s="147">
        <f t="shared" si="161"/>
        <v>265.39999999999998</v>
      </c>
      <c r="I473" s="147">
        <f t="shared" si="161"/>
        <v>0</v>
      </c>
      <c r="J473" s="627">
        <f t="shared" si="161"/>
        <v>0</v>
      </c>
      <c r="K473" s="627">
        <f t="shared" si="161"/>
        <v>0</v>
      </c>
      <c r="L473" s="627">
        <f t="shared" si="161"/>
        <v>0</v>
      </c>
      <c r="M473" s="42">
        <f t="shared" si="161"/>
        <v>-88</v>
      </c>
      <c r="N473" s="43">
        <f t="shared" si="161"/>
        <v>-88</v>
      </c>
    </row>
    <row r="474" spans="1:19" ht="18" hidden="1" customHeight="1">
      <c r="A474" s="110" t="s">
        <v>145</v>
      </c>
      <c r="B474" s="26" t="s">
        <v>425</v>
      </c>
      <c r="C474" s="26" t="s">
        <v>21</v>
      </c>
      <c r="D474" s="26" t="s">
        <v>39</v>
      </c>
      <c r="E474" s="26" t="s">
        <v>448</v>
      </c>
      <c r="F474" s="26"/>
      <c r="G474" s="147">
        <f t="shared" si="161"/>
        <v>-195</v>
      </c>
      <c r="H474" s="147">
        <f t="shared" si="161"/>
        <v>265.39999999999998</v>
      </c>
      <c r="I474" s="147">
        <f t="shared" si="161"/>
        <v>0</v>
      </c>
      <c r="J474" s="627">
        <f t="shared" si="161"/>
        <v>0</v>
      </c>
      <c r="K474" s="627">
        <f t="shared" si="161"/>
        <v>0</v>
      </c>
      <c r="L474" s="627">
        <f t="shared" si="161"/>
        <v>0</v>
      </c>
      <c r="M474" s="42">
        <f t="shared" si="161"/>
        <v>-88</v>
      </c>
      <c r="N474" s="43">
        <f t="shared" si="161"/>
        <v>-88</v>
      </c>
      <c r="O474" s="56"/>
    </row>
    <row r="475" spans="1:19" ht="18" hidden="1" customHeight="1">
      <c r="A475" s="110" t="s">
        <v>141</v>
      </c>
      <c r="B475" s="26" t="s">
        <v>425</v>
      </c>
      <c r="C475" s="26" t="s">
        <v>21</v>
      </c>
      <c r="D475" s="26" t="s">
        <v>39</v>
      </c>
      <c r="E475" s="26" t="s">
        <v>448</v>
      </c>
      <c r="F475" s="26" t="s">
        <v>142</v>
      </c>
      <c r="G475" s="147">
        <v>-195</v>
      </c>
      <c r="H475" s="147">
        <f>204.4+61</f>
        <v>265.39999999999998</v>
      </c>
      <c r="I475" s="147"/>
      <c r="J475" s="627"/>
      <c r="K475" s="627"/>
      <c r="L475" s="627">
        <f>J475+K475</f>
        <v>0</v>
      </c>
      <c r="M475" s="42">
        <f>-88</f>
        <v>-88</v>
      </c>
      <c r="N475" s="30">
        <f>L475+M475</f>
        <v>-88</v>
      </c>
      <c r="P475" s="97"/>
    </row>
    <row r="476" spans="1:19" s="161" customFormat="1" ht="42.75">
      <c r="A476" s="175" t="s">
        <v>43</v>
      </c>
      <c r="B476" s="34" t="s">
        <v>425</v>
      </c>
      <c r="C476" s="34" t="s">
        <v>24</v>
      </c>
      <c r="D476" s="34"/>
      <c r="E476" s="34"/>
      <c r="F476" s="34"/>
      <c r="G476" s="379">
        <f t="shared" ref="G476:N476" si="162">G477+G481</f>
        <v>0</v>
      </c>
      <c r="H476" s="379">
        <f t="shared" si="162"/>
        <v>57.6</v>
      </c>
      <c r="I476" s="379">
        <f t="shared" si="162"/>
        <v>0</v>
      </c>
      <c r="J476" s="379">
        <f t="shared" si="162"/>
        <v>90</v>
      </c>
      <c r="K476" s="379">
        <f t="shared" si="162"/>
        <v>-45</v>
      </c>
      <c r="L476" s="379">
        <f t="shared" si="162"/>
        <v>45</v>
      </c>
      <c r="M476" s="571">
        <f t="shared" si="162"/>
        <v>0</v>
      </c>
      <c r="N476" s="379">
        <f t="shared" si="162"/>
        <v>30</v>
      </c>
    </row>
    <row r="477" spans="1:19" s="113" customFormat="1" ht="71.25">
      <c r="A477" s="109" t="s">
        <v>451</v>
      </c>
      <c r="B477" s="25" t="s">
        <v>425</v>
      </c>
      <c r="C477" s="25" t="s">
        <v>24</v>
      </c>
      <c r="D477" s="25" t="s">
        <v>47</v>
      </c>
      <c r="E477" s="25"/>
      <c r="F477" s="25"/>
      <c r="G477" s="565">
        <f t="shared" ref="G477:N479" si="163">G478</f>
        <v>0</v>
      </c>
      <c r="H477" s="565">
        <f t="shared" si="163"/>
        <v>57.6</v>
      </c>
      <c r="I477" s="565">
        <f t="shared" si="163"/>
        <v>0</v>
      </c>
      <c r="J477" s="488">
        <f t="shared" si="163"/>
        <v>75</v>
      </c>
      <c r="K477" s="488">
        <f t="shared" si="163"/>
        <v>-45</v>
      </c>
      <c r="L477" s="488">
        <f t="shared" si="163"/>
        <v>30</v>
      </c>
      <c r="M477" s="95">
        <f t="shared" si="163"/>
        <v>0</v>
      </c>
      <c r="N477" s="96">
        <f t="shared" si="163"/>
        <v>30</v>
      </c>
    </row>
    <row r="478" spans="1:19" ht="60">
      <c r="A478" s="110" t="s">
        <v>452</v>
      </c>
      <c r="B478" s="26" t="s">
        <v>425</v>
      </c>
      <c r="C478" s="26" t="s">
        <v>24</v>
      </c>
      <c r="D478" s="26" t="s">
        <v>47</v>
      </c>
      <c r="E478" s="26" t="s">
        <v>453</v>
      </c>
      <c r="F478" s="26"/>
      <c r="G478" s="147">
        <f t="shared" si="163"/>
        <v>0</v>
      </c>
      <c r="H478" s="147">
        <f t="shared" si="163"/>
        <v>57.6</v>
      </c>
      <c r="I478" s="147">
        <f t="shared" si="163"/>
        <v>0</v>
      </c>
      <c r="J478" s="627">
        <f t="shared" si="163"/>
        <v>75</v>
      </c>
      <c r="K478" s="627">
        <f t="shared" si="163"/>
        <v>-45</v>
      </c>
      <c r="L478" s="627">
        <f t="shared" si="163"/>
        <v>30</v>
      </c>
      <c r="M478" s="42">
        <f t="shared" si="163"/>
        <v>0</v>
      </c>
      <c r="N478" s="43">
        <f t="shared" si="163"/>
        <v>30</v>
      </c>
    </row>
    <row r="479" spans="1:19" ht="60">
      <c r="A479" s="110" t="s">
        <v>454</v>
      </c>
      <c r="B479" s="26" t="s">
        <v>425</v>
      </c>
      <c r="C479" s="26" t="s">
        <v>24</v>
      </c>
      <c r="D479" s="26" t="s">
        <v>47</v>
      </c>
      <c r="E479" s="26" t="s">
        <v>455</v>
      </c>
      <c r="F479" s="26"/>
      <c r="G479" s="147">
        <f t="shared" si="163"/>
        <v>0</v>
      </c>
      <c r="H479" s="147">
        <f t="shared" si="163"/>
        <v>57.6</v>
      </c>
      <c r="I479" s="147">
        <f t="shared" si="163"/>
        <v>0</v>
      </c>
      <c r="J479" s="627">
        <f t="shared" si="163"/>
        <v>75</v>
      </c>
      <c r="K479" s="627">
        <f t="shared" si="163"/>
        <v>-45</v>
      </c>
      <c r="L479" s="627">
        <f t="shared" si="163"/>
        <v>30</v>
      </c>
      <c r="M479" s="42">
        <f t="shared" si="163"/>
        <v>0</v>
      </c>
      <c r="N479" s="43">
        <f t="shared" si="163"/>
        <v>30</v>
      </c>
    </row>
    <row r="480" spans="1:19" ht="60">
      <c r="A480" s="116" t="s">
        <v>456</v>
      </c>
      <c r="B480" s="26" t="s">
        <v>425</v>
      </c>
      <c r="C480" s="26" t="s">
        <v>24</v>
      </c>
      <c r="D480" s="26" t="s">
        <v>47</v>
      </c>
      <c r="E480" s="26" t="s">
        <v>455</v>
      </c>
      <c r="F480" s="26" t="s">
        <v>457</v>
      </c>
      <c r="G480" s="147"/>
      <c r="H480" s="147">
        <v>57.6</v>
      </c>
      <c r="I480" s="147"/>
      <c r="J480" s="627">
        <v>75</v>
      </c>
      <c r="K480" s="627">
        <v>-45</v>
      </c>
      <c r="L480" s="627">
        <f>J480+K480</f>
        <v>30</v>
      </c>
      <c r="M480" s="42"/>
      <c r="N480" s="30">
        <f>L480+M480</f>
        <v>30</v>
      </c>
      <c r="O480" s="44"/>
    </row>
    <row r="481" spans="1:15" ht="45">
      <c r="A481" s="116" t="s">
        <v>1156</v>
      </c>
      <c r="B481" s="26" t="s">
        <v>425</v>
      </c>
      <c r="C481" s="26" t="s">
        <v>24</v>
      </c>
      <c r="D481" s="26" t="s">
        <v>39</v>
      </c>
      <c r="E481" s="26"/>
      <c r="F481" s="26"/>
      <c r="G481" s="147"/>
      <c r="H481" s="147"/>
      <c r="I481" s="147"/>
      <c r="J481" s="627">
        <f t="shared" ref="J481:L482" si="164">J482</f>
        <v>15</v>
      </c>
      <c r="K481" s="627">
        <f t="shared" si="164"/>
        <v>0</v>
      </c>
      <c r="L481" s="627">
        <f t="shared" si="164"/>
        <v>15</v>
      </c>
      <c r="M481" s="42"/>
      <c r="N481" s="30"/>
      <c r="O481" s="44"/>
    </row>
    <row r="482" spans="1:15" ht="105">
      <c r="A482" s="116" t="s">
        <v>1157</v>
      </c>
      <c r="B482" s="26" t="s">
        <v>425</v>
      </c>
      <c r="C482" s="26" t="s">
        <v>24</v>
      </c>
      <c r="D482" s="26" t="s">
        <v>39</v>
      </c>
      <c r="E482" s="26" t="s">
        <v>1142</v>
      </c>
      <c r="F482" s="26"/>
      <c r="G482" s="147"/>
      <c r="H482" s="147"/>
      <c r="I482" s="147"/>
      <c r="J482" s="627">
        <f t="shared" si="164"/>
        <v>15</v>
      </c>
      <c r="K482" s="627">
        <f t="shared" si="164"/>
        <v>0</v>
      </c>
      <c r="L482" s="627">
        <f t="shared" si="164"/>
        <v>15</v>
      </c>
      <c r="M482" s="42"/>
      <c r="N482" s="30"/>
      <c r="O482" s="44"/>
    </row>
    <row r="483" spans="1:15">
      <c r="A483" s="116" t="s">
        <v>1143</v>
      </c>
      <c r="B483" s="26" t="s">
        <v>425</v>
      </c>
      <c r="C483" s="26" t="s">
        <v>24</v>
      </c>
      <c r="D483" s="26" t="s">
        <v>39</v>
      </c>
      <c r="E483" s="26" t="s">
        <v>1142</v>
      </c>
      <c r="F483" s="26" t="s">
        <v>133</v>
      </c>
      <c r="G483" s="147"/>
      <c r="H483" s="147"/>
      <c r="I483" s="147"/>
      <c r="J483" s="627">
        <v>15</v>
      </c>
      <c r="K483" s="627"/>
      <c r="L483" s="627">
        <f>J483+K483</f>
        <v>15</v>
      </c>
      <c r="M483" s="42"/>
      <c r="N483" s="30"/>
      <c r="O483" s="44"/>
    </row>
    <row r="484" spans="1:15" s="161" customFormat="1" ht="14.25">
      <c r="A484" s="176" t="s">
        <v>48</v>
      </c>
      <c r="B484" s="34" t="s">
        <v>425</v>
      </c>
      <c r="C484" s="34" t="s">
        <v>26</v>
      </c>
      <c r="D484" s="34"/>
      <c r="E484" s="34"/>
      <c r="F484" s="34"/>
      <c r="G484" s="585">
        <f>G488+G497+G491</f>
        <v>4086.5</v>
      </c>
      <c r="H484" s="587">
        <f t="shared" ref="H484:N484" si="165">H488+H497+H491+H494</f>
        <v>2102.1799999999998</v>
      </c>
      <c r="I484" s="587">
        <f t="shared" si="165"/>
        <v>0</v>
      </c>
      <c r="J484" s="379">
        <f>J488+J497+J491+J494+J485</f>
        <v>5788.8260099999998</v>
      </c>
      <c r="K484" s="379">
        <f>K488+K497+K491+K494+K485</f>
        <v>840.59402999999998</v>
      </c>
      <c r="L484" s="379">
        <f>L488+L497+L491+L494+L485</f>
        <v>6629.4200400000009</v>
      </c>
      <c r="M484" s="37">
        <f t="shared" si="165"/>
        <v>0</v>
      </c>
      <c r="N484" s="38">
        <f t="shared" si="165"/>
        <v>4799.4259999999995</v>
      </c>
    </row>
    <row r="485" spans="1:15" s="113" customFormat="1" ht="14.25">
      <c r="A485" s="121" t="s">
        <v>50</v>
      </c>
      <c r="B485" s="25" t="s">
        <v>425</v>
      </c>
      <c r="C485" s="25" t="s">
        <v>26</v>
      </c>
      <c r="D485" s="25" t="s">
        <v>21</v>
      </c>
      <c r="E485" s="25"/>
      <c r="F485" s="25"/>
      <c r="G485" s="565"/>
      <c r="H485" s="207"/>
      <c r="I485" s="207"/>
      <c r="J485" s="488">
        <f t="shared" ref="J485:L486" si="166">J486</f>
        <v>30.321010000000001</v>
      </c>
      <c r="K485" s="488">
        <f t="shared" si="166"/>
        <v>90.963030000000003</v>
      </c>
      <c r="L485" s="488">
        <f t="shared" si="166"/>
        <v>121.28404</v>
      </c>
      <c r="M485" s="70"/>
      <c r="N485" s="122"/>
    </row>
    <row r="486" spans="1:15" ht="30">
      <c r="A486" s="123" t="s">
        <v>1150</v>
      </c>
      <c r="B486" s="26" t="s">
        <v>425</v>
      </c>
      <c r="C486" s="26" t="s">
        <v>26</v>
      </c>
      <c r="D486" s="26" t="s">
        <v>21</v>
      </c>
      <c r="E486" s="26" t="s">
        <v>1140</v>
      </c>
      <c r="F486" s="26"/>
      <c r="G486" s="147"/>
      <c r="H486" s="589"/>
      <c r="I486" s="589"/>
      <c r="J486" s="627">
        <f t="shared" si="166"/>
        <v>30.321010000000001</v>
      </c>
      <c r="K486" s="627">
        <f t="shared" si="166"/>
        <v>90.963030000000003</v>
      </c>
      <c r="L486" s="627">
        <f t="shared" si="166"/>
        <v>121.28404</v>
      </c>
      <c r="M486" s="29"/>
      <c r="N486" s="30"/>
    </row>
    <row r="487" spans="1:15" ht="30">
      <c r="A487" s="116" t="s">
        <v>135</v>
      </c>
      <c r="B487" s="26" t="s">
        <v>425</v>
      </c>
      <c r="C487" s="26" t="s">
        <v>26</v>
      </c>
      <c r="D487" s="26" t="s">
        <v>21</v>
      </c>
      <c r="E487" s="26" t="s">
        <v>1140</v>
      </c>
      <c r="F487" s="26" t="s">
        <v>142</v>
      </c>
      <c r="G487" s="147"/>
      <c r="H487" s="589"/>
      <c r="I487" s="589"/>
      <c r="J487" s="627">
        <v>30.321010000000001</v>
      </c>
      <c r="K487" s="627">
        <v>90.963030000000003</v>
      </c>
      <c r="L487" s="627">
        <f>J487+K487</f>
        <v>121.28404</v>
      </c>
      <c r="M487" s="29"/>
      <c r="N487" s="30"/>
    </row>
    <row r="488" spans="1:15" s="113" customFormat="1">
      <c r="A488" s="110" t="s">
        <v>51</v>
      </c>
      <c r="B488" s="25" t="s">
        <v>425</v>
      </c>
      <c r="C488" s="25" t="s">
        <v>26</v>
      </c>
      <c r="D488" s="25" t="s">
        <v>28</v>
      </c>
      <c r="E488" s="25"/>
      <c r="F488" s="25"/>
      <c r="G488" s="565">
        <f t="shared" ref="G488:N489" si="167">G489</f>
        <v>0</v>
      </c>
      <c r="H488" s="565">
        <f t="shared" si="167"/>
        <v>167.68</v>
      </c>
      <c r="I488" s="565">
        <f t="shared" si="167"/>
        <v>0</v>
      </c>
      <c r="J488" s="488">
        <f t="shared" si="167"/>
        <v>2599</v>
      </c>
      <c r="K488" s="488">
        <f t="shared" si="167"/>
        <v>749.63099999999997</v>
      </c>
      <c r="L488" s="488">
        <f t="shared" si="167"/>
        <v>3348.6309999999999</v>
      </c>
      <c r="M488" s="95">
        <f t="shared" si="167"/>
        <v>0</v>
      </c>
      <c r="N488" s="96">
        <f t="shared" si="167"/>
        <v>3348.6309999999999</v>
      </c>
    </row>
    <row r="489" spans="1:15" ht="45">
      <c r="A489" s="116" t="s">
        <v>458</v>
      </c>
      <c r="B489" s="26" t="s">
        <v>425</v>
      </c>
      <c r="C489" s="26" t="s">
        <v>26</v>
      </c>
      <c r="D489" s="26" t="s">
        <v>28</v>
      </c>
      <c r="E489" s="26" t="s">
        <v>459</v>
      </c>
      <c r="F489" s="26"/>
      <c r="G489" s="147">
        <f t="shared" si="167"/>
        <v>0</v>
      </c>
      <c r="H489" s="147">
        <f t="shared" si="167"/>
        <v>167.68</v>
      </c>
      <c r="I489" s="147">
        <f t="shared" si="167"/>
        <v>0</v>
      </c>
      <c r="J489" s="627">
        <f t="shared" si="167"/>
        <v>2599</v>
      </c>
      <c r="K489" s="627">
        <f t="shared" si="167"/>
        <v>749.63099999999997</v>
      </c>
      <c r="L489" s="627">
        <f t="shared" si="167"/>
        <v>3348.6309999999999</v>
      </c>
      <c r="M489" s="42">
        <f t="shared" si="167"/>
        <v>0</v>
      </c>
      <c r="N489" s="43">
        <f t="shared" si="167"/>
        <v>3348.6309999999999</v>
      </c>
    </row>
    <row r="490" spans="1:15" ht="30.75" customHeight="1">
      <c r="A490" s="116" t="s">
        <v>460</v>
      </c>
      <c r="B490" s="26" t="s">
        <v>425</v>
      </c>
      <c r="C490" s="26" t="s">
        <v>26</v>
      </c>
      <c r="D490" s="26" t="s">
        <v>28</v>
      </c>
      <c r="E490" s="26" t="s">
        <v>459</v>
      </c>
      <c r="F490" s="26" t="s">
        <v>461</v>
      </c>
      <c r="G490" s="147"/>
      <c r="H490" s="589">
        <v>167.68</v>
      </c>
      <c r="I490" s="147"/>
      <c r="J490" s="627">
        <v>2599</v>
      </c>
      <c r="K490" s="627">
        <f>26.5+723.131</f>
        <v>749.63099999999997</v>
      </c>
      <c r="L490" s="627">
        <f>J490+K490</f>
        <v>3348.6309999999999</v>
      </c>
      <c r="M490" s="42"/>
      <c r="N490" s="30">
        <f>L490+M490</f>
        <v>3348.6309999999999</v>
      </c>
      <c r="O490" s="44"/>
    </row>
    <row r="491" spans="1:15" hidden="1">
      <c r="A491" s="116" t="s">
        <v>462</v>
      </c>
      <c r="B491" s="26" t="s">
        <v>425</v>
      </c>
      <c r="C491" s="26" t="s">
        <v>26</v>
      </c>
      <c r="D491" s="26" t="s">
        <v>47</v>
      </c>
      <c r="E491" s="26"/>
      <c r="F491" s="26"/>
      <c r="G491" s="147">
        <f t="shared" ref="G491:N492" si="168">G492</f>
        <v>786.5</v>
      </c>
      <c r="H491" s="147">
        <f t="shared" si="168"/>
        <v>0</v>
      </c>
      <c r="I491" s="147">
        <f t="shared" si="168"/>
        <v>0</v>
      </c>
      <c r="J491" s="627">
        <f t="shared" si="168"/>
        <v>0</v>
      </c>
      <c r="K491" s="627">
        <f t="shared" si="168"/>
        <v>0</v>
      </c>
      <c r="L491" s="627">
        <f t="shared" si="168"/>
        <v>0</v>
      </c>
      <c r="M491" s="42">
        <f t="shared" si="168"/>
        <v>0</v>
      </c>
      <c r="N491" s="43">
        <f t="shared" si="168"/>
        <v>0</v>
      </c>
    </row>
    <row r="492" spans="1:15" ht="75" hidden="1">
      <c r="A492" s="174" t="s">
        <v>463</v>
      </c>
      <c r="B492" s="26" t="s">
        <v>425</v>
      </c>
      <c r="C492" s="26" t="s">
        <v>26</v>
      </c>
      <c r="D492" s="26" t="s">
        <v>47</v>
      </c>
      <c r="E492" s="26" t="s">
        <v>464</v>
      </c>
      <c r="F492" s="26"/>
      <c r="G492" s="147">
        <f t="shared" si="168"/>
        <v>786.5</v>
      </c>
      <c r="H492" s="147">
        <f t="shared" si="168"/>
        <v>0</v>
      </c>
      <c r="I492" s="147">
        <f t="shared" si="168"/>
        <v>0</v>
      </c>
      <c r="J492" s="627">
        <f t="shared" si="168"/>
        <v>0</v>
      </c>
      <c r="K492" s="627">
        <f t="shared" si="168"/>
        <v>0</v>
      </c>
      <c r="L492" s="627">
        <f t="shared" si="168"/>
        <v>0</v>
      </c>
      <c r="M492" s="42">
        <f t="shared" si="168"/>
        <v>0</v>
      </c>
      <c r="N492" s="43">
        <f t="shared" si="168"/>
        <v>0</v>
      </c>
    </row>
    <row r="493" spans="1:15" ht="30" hidden="1">
      <c r="A493" s="116" t="s">
        <v>135</v>
      </c>
      <c r="B493" s="26" t="s">
        <v>425</v>
      </c>
      <c r="C493" s="26" t="s">
        <v>26</v>
      </c>
      <c r="D493" s="26" t="s">
        <v>47</v>
      </c>
      <c r="E493" s="26" t="s">
        <v>464</v>
      </c>
      <c r="F493" s="26" t="s">
        <v>133</v>
      </c>
      <c r="G493" s="147">
        <v>786.5</v>
      </c>
      <c r="H493" s="589"/>
      <c r="I493" s="147"/>
      <c r="J493" s="627"/>
      <c r="K493" s="627"/>
      <c r="L493" s="627">
        <f>J493+K493</f>
        <v>0</v>
      </c>
      <c r="M493" s="42"/>
      <c r="N493" s="30">
        <f>L493+M493</f>
        <v>0</v>
      </c>
    </row>
    <row r="494" spans="1:15" ht="30" hidden="1" customHeight="1">
      <c r="A494" s="178" t="s">
        <v>55</v>
      </c>
      <c r="B494" s="25" t="s">
        <v>425</v>
      </c>
      <c r="C494" s="25" t="s">
        <v>26</v>
      </c>
      <c r="D494" s="25" t="s">
        <v>34</v>
      </c>
      <c r="E494" s="25"/>
      <c r="F494" s="25"/>
      <c r="G494" s="565"/>
      <c r="H494" s="207">
        <f t="shared" ref="H494:N495" si="169">H495</f>
        <v>0</v>
      </c>
      <c r="I494" s="207">
        <f t="shared" si="169"/>
        <v>0</v>
      </c>
      <c r="J494" s="488">
        <f t="shared" si="169"/>
        <v>0</v>
      </c>
      <c r="K494" s="488">
        <f t="shared" si="169"/>
        <v>0</v>
      </c>
      <c r="L494" s="488">
        <f t="shared" si="169"/>
        <v>0</v>
      </c>
      <c r="M494" s="29">
        <f t="shared" si="169"/>
        <v>0</v>
      </c>
      <c r="N494" s="30">
        <f t="shared" si="169"/>
        <v>0</v>
      </c>
    </row>
    <row r="495" spans="1:15" ht="75" hidden="1" customHeight="1">
      <c r="A495" s="116" t="s">
        <v>465</v>
      </c>
      <c r="B495" s="26" t="s">
        <v>425</v>
      </c>
      <c r="C495" s="26" t="s">
        <v>26</v>
      </c>
      <c r="D495" s="26" t="s">
        <v>34</v>
      </c>
      <c r="E495" s="26" t="s">
        <v>466</v>
      </c>
      <c r="F495" s="26"/>
      <c r="G495" s="147"/>
      <c r="H495" s="589">
        <f t="shared" si="169"/>
        <v>0</v>
      </c>
      <c r="I495" s="589">
        <f t="shared" si="169"/>
        <v>0</v>
      </c>
      <c r="J495" s="627">
        <f t="shared" si="169"/>
        <v>0</v>
      </c>
      <c r="K495" s="627">
        <f t="shared" si="169"/>
        <v>0</v>
      </c>
      <c r="L495" s="627">
        <f t="shared" si="169"/>
        <v>0</v>
      </c>
      <c r="M495" s="29">
        <f t="shared" si="169"/>
        <v>0</v>
      </c>
      <c r="N495" s="30">
        <f t="shared" si="169"/>
        <v>0</v>
      </c>
    </row>
    <row r="496" spans="1:15" ht="30" hidden="1" customHeight="1">
      <c r="A496" s="116" t="s">
        <v>135</v>
      </c>
      <c r="B496" s="26" t="s">
        <v>425</v>
      </c>
      <c r="C496" s="26" t="s">
        <v>26</v>
      </c>
      <c r="D496" s="26" t="s">
        <v>34</v>
      </c>
      <c r="E496" s="26" t="s">
        <v>466</v>
      </c>
      <c r="F496" s="26" t="s">
        <v>133</v>
      </c>
      <c r="G496" s="147"/>
      <c r="H496" s="589"/>
      <c r="I496" s="147"/>
      <c r="J496" s="627">
        <f>H496+I496</f>
        <v>0</v>
      </c>
      <c r="K496" s="627"/>
      <c r="L496" s="627">
        <f>J496+K496</f>
        <v>0</v>
      </c>
      <c r="M496" s="42"/>
      <c r="N496" s="30">
        <f>L496+M496</f>
        <v>0</v>
      </c>
    </row>
    <row r="497" spans="1:16" s="113" customFormat="1" ht="30">
      <c r="A497" s="110" t="s">
        <v>467</v>
      </c>
      <c r="B497" s="25" t="s">
        <v>425</v>
      </c>
      <c r="C497" s="25" t="s">
        <v>26</v>
      </c>
      <c r="D497" s="25" t="s">
        <v>36</v>
      </c>
      <c r="E497" s="25"/>
      <c r="F497" s="25"/>
      <c r="G497" s="566">
        <f t="shared" ref="G497:L497" si="170">G500+G504+G498+G507</f>
        <v>3300</v>
      </c>
      <c r="H497" s="566">
        <f t="shared" si="170"/>
        <v>1934.5</v>
      </c>
      <c r="I497" s="566">
        <f t="shared" si="170"/>
        <v>0</v>
      </c>
      <c r="J497" s="488">
        <f t="shared" si="170"/>
        <v>3159.5050000000001</v>
      </c>
      <c r="K497" s="488">
        <f t="shared" si="170"/>
        <v>0</v>
      </c>
      <c r="L497" s="488">
        <f t="shared" si="170"/>
        <v>3159.5050000000001</v>
      </c>
      <c r="M497" s="95">
        <f>M500+M504+M498</f>
        <v>0</v>
      </c>
      <c r="N497" s="96">
        <f>N500+N504+N498</f>
        <v>1450.7950000000001</v>
      </c>
    </row>
    <row r="498" spans="1:16" s="113" customFormat="1" ht="60" hidden="1" customHeight="1">
      <c r="A498" s="110" t="s">
        <v>468</v>
      </c>
      <c r="B498" s="26" t="s">
        <v>425</v>
      </c>
      <c r="C498" s="26" t="s">
        <v>26</v>
      </c>
      <c r="D498" s="26" t="s">
        <v>36</v>
      </c>
      <c r="E498" s="26" t="s">
        <v>469</v>
      </c>
      <c r="F498" s="26"/>
      <c r="G498" s="147">
        <f t="shared" ref="G498:N498" si="171">G499</f>
        <v>0</v>
      </c>
      <c r="H498" s="589">
        <f t="shared" si="171"/>
        <v>0</v>
      </c>
      <c r="I498" s="147">
        <f t="shared" si="171"/>
        <v>0</v>
      </c>
      <c r="J498" s="627">
        <f t="shared" si="171"/>
        <v>0</v>
      </c>
      <c r="K498" s="627">
        <f t="shared" si="171"/>
        <v>0</v>
      </c>
      <c r="L498" s="627">
        <f t="shared" si="171"/>
        <v>0</v>
      </c>
      <c r="M498" s="95">
        <f t="shared" si="171"/>
        <v>0</v>
      </c>
      <c r="N498" s="122">
        <f t="shared" si="171"/>
        <v>0</v>
      </c>
    </row>
    <row r="499" spans="1:16" s="113" customFormat="1" ht="17.25" hidden="1" customHeight="1">
      <c r="A499" s="110" t="s">
        <v>470</v>
      </c>
      <c r="B499" s="26" t="s">
        <v>425</v>
      </c>
      <c r="C499" s="26" t="s">
        <v>26</v>
      </c>
      <c r="D499" s="26" t="s">
        <v>36</v>
      </c>
      <c r="E499" s="26" t="s">
        <v>469</v>
      </c>
      <c r="F499" s="26" t="s">
        <v>471</v>
      </c>
      <c r="G499" s="147">
        <f>50-50</f>
        <v>0</v>
      </c>
      <c r="H499" s="589"/>
      <c r="I499" s="147">
        <f>50-50</f>
        <v>0</v>
      </c>
      <c r="J499" s="627">
        <f>H499+I499</f>
        <v>0</v>
      </c>
      <c r="K499" s="627"/>
      <c r="L499" s="627">
        <f>J499+K499</f>
        <v>0</v>
      </c>
      <c r="M499" s="95">
        <f>50-50</f>
        <v>0</v>
      </c>
      <c r="N499" s="30">
        <f>L499+M499</f>
        <v>0</v>
      </c>
    </row>
    <row r="500" spans="1:16" ht="45">
      <c r="A500" s="116" t="s">
        <v>472</v>
      </c>
      <c r="B500" s="26" t="s">
        <v>425</v>
      </c>
      <c r="C500" s="26" t="s">
        <v>26</v>
      </c>
      <c r="D500" s="26" t="s">
        <v>36</v>
      </c>
      <c r="E500" s="26" t="s">
        <v>473</v>
      </c>
      <c r="F500" s="26"/>
      <c r="G500" s="147">
        <f t="shared" ref="G500:N500" si="172">G501</f>
        <v>2750</v>
      </c>
      <c r="H500" s="147">
        <f t="shared" si="172"/>
        <v>1620.1</v>
      </c>
      <c r="I500" s="147">
        <f t="shared" si="172"/>
        <v>0</v>
      </c>
      <c r="J500" s="627">
        <f>J501+J502+J503</f>
        <v>1708.71</v>
      </c>
      <c r="K500" s="627">
        <f>K501+K502+K503</f>
        <v>0</v>
      </c>
      <c r="L500" s="627">
        <f>L501+L502+L503</f>
        <v>1708.71</v>
      </c>
      <c r="M500" s="42">
        <f t="shared" si="172"/>
        <v>0</v>
      </c>
      <c r="N500" s="43">
        <f t="shared" si="172"/>
        <v>1000</v>
      </c>
    </row>
    <row r="501" spans="1:16" ht="30">
      <c r="A501" s="116" t="s">
        <v>135</v>
      </c>
      <c r="B501" s="26" t="s">
        <v>425</v>
      </c>
      <c r="C501" s="26" t="s">
        <v>26</v>
      </c>
      <c r="D501" s="26" t="s">
        <v>36</v>
      </c>
      <c r="E501" s="26" t="s">
        <v>473</v>
      </c>
      <c r="F501" s="26" t="s">
        <v>133</v>
      </c>
      <c r="G501" s="147">
        <f>2377+151+222</f>
        <v>2750</v>
      </c>
      <c r="H501" s="147">
        <f>1358.1+262</f>
        <v>1620.1</v>
      </c>
      <c r="I501" s="147"/>
      <c r="J501" s="627">
        <v>1000</v>
      </c>
      <c r="K501" s="627"/>
      <c r="L501" s="627">
        <f>J501+K501</f>
        <v>1000</v>
      </c>
      <c r="M501" s="42"/>
      <c r="N501" s="30">
        <f>L501+M501</f>
        <v>1000</v>
      </c>
      <c r="O501" s="44">
        <v>1000</v>
      </c>
      <c r="P501" s="15">
        <f>L501-O501</f>
        <v>0</v>
      </c>
    </row>
    <row r="502" spans="1:16">
      <c r="A502" s="116" t="s">
        <v>304</v>
      </c>
      <c r="B502" s="26" t="s">
        <v>425</v>
      </c>
      <c r="C502" s="26" t="s">
        <v>26</v>
      </c>
      <c r="D502" s="26" t="s">
        <v>36</v>
      </c>
      <c r="E502" s="26" t="s">
        <v>474</v>
      </c>
      <c r="F502" s="26" t="s">
        <v>305</v>
      </c>
      <c r="G502" s="147"/>
      <c r="H502" s="147"/>
      <c r="I502" s="147"/>
      <c r="J502" s="627">
        <v>135</v>
      </c>
      <c r="K502" s="627"/>
      <c r="L502" s="627">
        <f>J502+K502</f>
        <v>135</v>
      </c>
      <c r="M502" s="42"/>
      <c r="N502" s="30"/>
      <c r="O502" s="44"/>
      <c r="P502" s="15"/>
    </row>
    <row r="503" spans="1:16" ht="30">
      <c r="A503" s="174" t="s">
        <v>141</v>
      </c>
      <c r="B503" s="26" t="s">
        <v>425</v>
      </c>
      <c r="C503" s="26" t="s">
        <v>26</v>
      </c>
      <c r="D503" s="26" t="s">
        <v>36</v>
      </c>
      <c r="E503" s="26" t="s">
        <v>474</v>
      </c>
      <c r="F503" s="26" t="s">
        <v>142</v>
      </c>
      <c r="G503" s="147"/>
      <c r="H503" s="147"/>
      <c r="I503" s="147"/>
      <c r="J503" s="627">
        <v>573.71</v>
      </c>
      <c r="K503" s="627"/>
      <c r="L503" s="627">
        <f>J503+K503</f>
        <v>573.71</v>
      </c>
      <c r="M503" s="42"/>
      <c r="N503" s="30"/>
      <c r="O503" s="44"/>
      <c r="P503" s="15"/>
    </row>
    <row r="504" spans="1:16" ht="30" customHeight="1">
      <c r="A504" s="110" t="s">
        <v>475</v>
      </c>
      <c r="B504" s="26" t="s">
        <v>425</v>
      </c>
      <c r="C504" s="26" t="s">
        <v>26</v>
      </c>
      <c r="D504" s="26" t="s">
        <v>36</v>
      </c>
      <c r="E504" s="26" t="s">
        <v>476</v>
      </c>
      <c r="F504" s="26"/>
      <c r="G504" s="147">
        <f t="shared" ref="G504:N505" si="173">G505</f>
        <v>550</v>
      </c>
      <c r="H504" s="147">
        <f t="shared" si="173"/>
        <v>314.39999999999998</v>
      </c>
      <c r="I504" s="147">
        <f t="shared" si="173"/>
        <v>0</v>
      </c>
      <c r="J504" s="627">
        <f t="shared" si="173"/>
        <v>450.79500000000002</v>
      </c>
      <c r="K504" s="627">
        <f t="shared" si="173"/>
        <v>0</v>
      </c>
      <c r="L504" s="627">
        <f t="shared" si="173"/>
        <v>450.79500000000002</v>
      </c>
      <c r="M504" s="42">
        <f t="shared" si="173"/>
        <v>0</v>
      </c>
      <c r="N504" s="43">
        <f t="shared" si="173"/>
        <v>450.79500000000002</v>
      </c>
    </row>
    <row r="505" spans="1:16" ht="30">
      <c r="A505" s="110" t="s">
        <v>477</v>
      </c>
      <c r="B505" s="26" t="s">
        <v>425</v>
      </c>
      <c r="C505" s="26" t="s">
        <v>26</v>
      </c>
      <c r="D505" s="26" t="s">
        <v>36</v>
      </c>
      <c r="E505" s="26" t="s">
        <v>478</v>
      </c>
      <c r="F505" s="26"/>
      <c r="G505" s="147">
        <f t="shared" si="173"/>
        <v>550</v>
      </c>
      <c r="H505" s="147">
        <f t="shared" si="173"/>
        <v>314.39999999999998</v>
      </c>
      <c r="I505" s="147">
        <f t="shared" si="173"/>
        <v>0</v>
      </c>
      <c r="J505" s="627">
        <f t="shared" si="173"/>
        <v>450.79500000000002</v>
      </c>
      <c r="K505" s="627">
        <f t="shared" si="173"/>
        <v>0</v>
      </c>
      <c r="L505" s="627">
        <f>L506</f>
        <v>450.79500000000002</v>
      </c>
      <c r="M505" s="42">
        <f t="shared" si="173"/>
        <v>0</v>
      </c>
      <c r="N505" s="43">
        <f t="shared" si="173"/>
        <v>450.79500000000002</v>
      </c>
    </row>
    <row r="506" spans="1:16" ht="30">
      <c r="A506" s="116" t="s">
        <v>135</v>
      </c>
      <c r="B506" s="26" t="s">
        <v>425</v>
      </c>
      <c r="C506" s="26" t="s">
        <v>26</v>
      </c>
      <c r="D506" s="26" t="s">
        <v>36</v>
      </c>
      <c r="E506" s="26" t="s">
        <v>478</v>
      </c>
      <c r="F506" s="26" t="s">
        <v>133</v>
      </c>
      <c r="G506" s="147">
        <v>550</v>
      </c>
      <c r="H506" s="147">
        <v>314.39999999999998</v>
      </c>
      <c r="I506" s="147"/>
      <c r="J506" s="627">
        <v>450.79500000000002</v>
      </c>
      <c r="K506" s="627"/>
      <c r="L506" s="627">
        <f>J506+K506</f>
        <v>450.79500000000002</v>
      </c>
      <c r="M506" s="42"/>
      <c r="N506" s="30">
        <f>L506+M506</f>
        <v>450.79500000000002</v>
      </c>
      <c r="O506" s="44">
        <v>376</v>
      </c>
      <c r="P506" s="14">
        <f>L506-O506</f>
        <v>74.795000000000016</v>
      </c>
    </row>
    <row r="507" spans="1:16" ht="60">
      <c r="A507" s="116" t="s">
        <v>1073</v>
      </c>
      <c r="B507" s="26" t="s">
        <v>425</v>
      </c>
      <c r="C507" s="26" t="s">
        <v>26</v>
      </c>
      <c r="D507" s="26" t="s">
        <v>36</v>
      </c>
      <c r="E507" s="26" t="s">
        <v>466</v>
      </c>
      <c r="F507" s="26"/>
      <c r="G507" s="147"/>
      <c r="H507" s="147"/>
      <c r="I507" s="147"/>
      <c r="J507" s="627">
        <f>J508</f>
        <v>1000</v>
      </c>
      <c r="K507" s="627">
        <f>K508</f>
        <v>0</v>
      </c>
      <c r="L507" s="627">
        <f>L508</f>
        <v>1000</v>
      </c>
      <c r="M507" s="42"/>
      <c r="N507" s="30"/>
      <c r="O507" s="44"/>
      <c r="P507" s="14"/>
    </row>
    <row r="508" spans="1:16" ht="30">
      <c r="A508" s="116" t="s">
        <v>135</v>
      </c>
      <c r="B508" s="26" t="s">
        <v>425</v>
      </c>
      <c r="C508" s="26" t="s">
        <v>26</v>
      </c>
      <c r="D508" s="26" t="s">
        <v>36</v>
      </c>
      <c r="E508" s="26" t="s">
        <v>466</v>
      </c>
      <c r="F508" s="26" t="s">
        <v>133</v>
      </c>
      <c r="G508" s="147"/>
      <c r="H508" s="147"/>
      <c r="I508" s="147"/>
      <c r="J508" s="627">
        <v>1000</v>
      </c>
      <c r="K508" s="627"/>
      <c r="L508" s="627">
        <f>J508+K508</f>
        <v>1000</v>
      </c>
      <c r="M508" s="42"/>
      <c r="N508" s="30"/>
      <c r="O508" s="44"/>
      <c r="P508" s="14"/>
    </row>
    <row r="509" spans="1:16" s="161" customFormat="1" ht="28.5">
      <c r="A509" s="176" t="s">
        <v>310</v>
      </c>
      <c r="B509" s="34" t="s">
        <v>425</v>
      </c>
      <c r="C509" s="34" t="s">
        <v>28</v>
      </c>
      <c r="D509" s="34"/>
      <c r="E509" s="34"/>
      <c r="F509" s="34"/>
      <c r="G509" s="585">
        <f t="shared" ref="G509:N509" si="174">G510+G522+G557+G563</f>
        <v>-1048.5</v>
      </c>
      <c r="H509" s="585">
        <f t="shared" si="174"/>
        <v>1667</v>
      </c>
      <c r="I509" s="585">
        <f t="shared" si="174"/>
        <v>0</v>
      </c>
      <c r="J509" s="379">
        <f t="shared" si="174"/>
        <v>23899.641999999996</v>
      </c>
      <c r="K509" s="379">
        <f t="shared" si="174"/>
        <v>8720.2870000000003</v>
      </c>
      <c r="L509" s="379">
        <f t="shared" si="174"/>
        <v>32619.928999999996</v>
      </c>
      <c r="M509" s="37">
        <f t="shared" si="174"/>
        <v>550</v>
      </c>
      <c r="N509" s="41">
        <f t="shared" si="174"/>
        <v>27306.368999999999</v>
      </c>
    </row>
    <row r="510" spans="1:16" s="113" customFormat="1" ht="12.75" customHeight="1">
      <c r="A510" s="177" t="s">
        <v>59</v>
      </c>
      <c r="B510" s="25" t="s">
        <v>425</v>
      </c>
      <c r="C510" s="25" t="s">
        <v>28</v>
      </c>
      <c r="D510" s="25" t="s">
        <v>21</v>
      </c>
      <c r="E510" s="25"/>
      <c r="F510" s="25"/>
      <c r="G510" s="565">
        <f t="shared" ref="G510:N511" si="175">G511</f>
        <v>-40</v>
      </c>
      <c r="H510" s="207">
        <f t="shared" ref="H510:N510" si="176">H511+H513+H516</f>
        <v>0</v>
      </c>
      <c r="I510" s="207">
        <f t="shared" si="176"/>
        <v>0</v>
      </c>
      <c r="J510" s="488">
        <f>J511+J513+J516+J520+J518</f>
        <v>1195.5900000000001</v>
      </c>
      <c r="K510" s="488">
        <f t="shared" ref="K510:L510" si="177">K511+K513+K516+K520+K518</f>
        <v>124.2</v>
      </c>
      <c r="L510" s="488">
        <f t="shared" si="177"/>
        <v>1319.7900000000002</v>
      </c>
      <c r="M510" s="70">
        <f t="shared" si="176"/>
        <v>0</v>
      </c>
      <c r="N510" s="122">
        <f t="shared" si="176"/>
        <v>1071.3900000000001</v>
      </c>
    </row>
    <row r="511" spans="1:16" ht="26.25" customHeight="1">
      <c r="A511" s="116" t="s">
        <v>479</v>
      </c>
      <c r="B511" s="26" t="s">
        <v>425</v>
      </c>
      <c r="C511" s="26" t="s">
        <v>28</v>
      </c>
      <c r="D511" s="26" t="s">
        <v>21</v>
      </c>
      <c r="E511" s="26" t="s">
        <v>480</v>
      </c>
      <c r="F511" s="26"/>
      <c r="G511" s="147">
        <f t="shared" si="175"/>
        <v>-40</v>
      </c>
      <c r="H511" s="147">
        <f t="shared" si="175"/>
        <v>0</v>
      </c>
      <c r="I511" s="147">
        <f t="shared" si="175"/>
        <v>0</v>
      </c>
      <c r="J511" s="627">
        <f t="shared" si="175"/>
        <v>1000</v>
      </c>
      <c r="K511" s="627">
        <f t="shared" si="175"/>
        <v>0</v>
      </c>
      <c r="L511" s="627">
        <f t="shared" si="175"/>
        <v>1000</v>
      </c>
      <c r="M511" s="42">
        <f t="shared" si="175"/>
        <v>0</v>
      </c>
      <c r="N511" s="43">
        <f t="shared" si="175"/>
        <v>1000</v>
      </c>
    </row>
    <row r="512" spans="1:16" ht="28.5" customHeight="1">
      <c r="A512" s="116" t="s">
        <v>135</v>
      </c>
      <c r="B512" s="26" t="s">
        <v>425</v>
      </c>
      <c r="C512" s="26" t="s">
        <v>28</v>
      </c>
      <c r="D512" s="26" t="s">
        <v>21</v>
      </c>
      <c r="E512" s="26" t="s">
        <v>480</v>
      </c>
      <c r="F512" s="26" t="s">
        <v>133</v>
      </c>
      <c r="G512" s="147">
        <v>-40</v>
      </c>
      <c r="H512" s="589"/>
      <c r="I512" s="147"/>
      <c r="J512" s="627">
        <v>1000</v>
      </c>
      <c r="K512" s="627"/>
      <c r="L512" s="627">
        <f>J512+K512</f>
        <v>1000</v>
      </c>
      <c r="M512" s="42"/>
      <c r="N512" s="30">
        <f>L512+M512</f>
        <v>1000</v>
      </c>
    </row>
    <row r="513" spans="1:18" ht="75.75" customHeight="1">
      <c r="A513" s="178" t="s">
        <v>314</v>
      </c>
      <c r="B513" s="26" t="s">
        <v>425</v>
      </c>
      <c r="C513" s="26" t="s">
        <v>28</v>
      </c>
      <c r="D513" s="26" t="s">
        <v>21</v>
      </c>
      <c r="E513" s="26" t="s">
        <v>315</v>
      </c>
      <c r="F513" s="26"/>
      <c r="G513" s="147"/>
      <c r="H513" s="589">
        <f t="shared" ref="H513:N513" si="178">H514</f>
        <v>0</v>
      </c>
      <c r="I513" s="589">
        <f t="shared" si="178"/>
        <v>0</v>
      </c>
      <c r="J513" s="627">
        <f t="shared" si="178"/>
        <v>71.39</v>
      </c>
      <c r="K513" s="627">
        <f t="shared" si="178"/>
        <v>0</v>
      </c>
      <c r="L513" s="627">
        <f t="shared" si="178"/>
        <v>71.39</v>
      </c>
      <c r="M513" s="29">
        <f t="shared" si="178"/>
        <v>0</v>
      </c>
      <c r="N513" s="30">
        <f t="shared" si="178"/>
        <v>71.39</v>
      </c>
    </row>
    <row r="514" spans="1:18">
      <c r="A514" s="519" t="s">
        <v>304</v>
      </c>
      <c r="B514" s="26" t="s">
        <v>425</v>
      </c>
      <c r="C514" s="26" t="s">
        <v>28</v>
      </c>
      <c r="D514" s="26" t="s">
        <v>21</v>
      </c>
      <c r="E514" s="26" t="s">
        <v>481</v>
      </c>
      <c r="F514" s="26" t="s">
        <v>305</v>
      </c>
      <c r="G514" s="147"/>
      <c r="H514" s="589"/>
      <c r="I514" s="589"/>
      <c r="J514" s="627">
        <v>71.39</v>
      </c>
      <c r="K514" s="627"/>
      <c r="L514" s="627">
        <f>J514+K514</f>
        <v>71.39</v>
      </c>
      <c r="M514" s="29"/>
      <c r="N514" s="30">
        <f>L514+M514</f>
        <v>71.39</v>
      </c>
      <c r="O514" s="44"/>
    </row>
    <row r="515" spans="1:18" ht="17.25" hidden="1" customHeight="1">
      <c r="A515" s="110" t="s">
        <v>482</v>
      </c>
      <c r="B515" s="26" t="s">
        <v>425</v>
      </c>
      <c r="C515" s="26" t="s">
        <v>28</v>
      </c>
      <c r="D515" s="26" t="s">
        <v>21</v>
      </c>
      <c r="E515" s="26" t="s">
        <v>469</v>
      </c>
      <c r="F515" s="26" t="s">
        <v>133</v>
      </c>
      <c r="G515" s="147"/>
      <c r="H515" s="589"/>
      <c r="I515" s="589"/>
      <c r="J515" s="627"/>
      <c r="K515" s="627"/>
      <c r="L515" s="627"/>
      <c r="M515" s="29"/>
      <c r="N515" s="30"/>
    </row>
    <row r="516" spans="1:18" ht="72.75" customHeight="1">
      <c r="A516" s="518" t="s">
        <v>314</v>
      </c>
      <c r="B516" s="26" t="s">
        <v>425</v>
      </c>
      <c r="C516" s="26" t="s">
        <v>28</v>
      </c>
      <c r="D516" s="26" t="s">
        <v>21</v>
      </c>
      <c r="E516" s="26" t="s">
        <v>315</v>
      </c>
      <c r="F516" s="26"/>
      <c r="G516" s="147"/>
      <c r="H516" s="589">
        <f t="shared" ref="H516:N516" si="179">H517</f>
        <v>0</v>
      </c>
      <c r="I516" s="589">
        <f t="shared" si="179"/>
        <v>0</v>
      </c>
      <c r="J516" s="627">
        <f t="shared" si="179"/>
        <v>0</v>
      </c>
      <c r="K516" s="627">
        <f t="shared" si="179"/>
        <v>0</v>
      </c>
      <c r="L516" s="627">
        <f t="shared" si="179"/>
        <v>0</v>
      </c>
      <c r="M516" s="29">
        <f t="shared" si="179"/>
        <v>0</v>
      </c>
      <c r="N516" s="30">
        <f t="shared" si="179"/>
        <v>0</v>
      </c>
      <c r="R516" s="11">
        <f>O514+O517</f>
        <v>0</v>
      </c>
    </row>
    <row r="517" spans="1:18">
      <c r="A517" s="519" t="s">
        <v>304</v>
      </c>
      <c r="B517" s="26" t="s">
        <v>425</v>
      </c>
      <c r="C517" s="26" t="s">
        <v>28</v>
      </c>
      <c r="D517" s="26" t="s">
        <v>21</v>
      </c>
      <c r="E517" s="26" t="s">
        <v>317</v>
      </c>
      <c r="F517" s="26" t="s">
        <v>305</v>
      </c>
      <c r="G517" s="147"/>
      <c r="H517" s="589"/>
      <c r="I517" s="147"/>
      <c r="J517" s="627">
        <v>0</v>
      </c>
      <c r="K517" s="627"/>
      <c r="L517" s="627">
        <f>J517+K517</f>
        <v>0</v>
      </c>
      <c r="M517" s="42"/>
      <c r="N517" s="30">
        <f>L517+M517</f>
        <v>0</v>
      </c>
      <c r="O517" s="44"/>
    </row>
    <row r="518" spans="1:18" ht="64.5">
      <c r="A518" s="520" t="s">
        <v>1200</v>
      </c>
      <c r="B518" s="26" t="s">
        <v>425</v>
      </c>
      <c r="C518" s="26" t="s">
        <v>28</v>
      </c>
      <c r="D518" s="26" t="s">
        <v>21</v>
      </c>
      <c r="E518" s="26" t="s">
        <v>1201</v>
      </c>
      <c r="F518" s="26"/>
      <c r="G518" s="147"/>
      <c r="H518" s="589"/>
      <c r="I518" s="147"/>
      <c r="J518" s="627">
        <f>J519</f>
        <v>0</v>
      </c>
      <c r="K518" s="627">
        <f t="shared" ref="K518:L518" si="180">K519</f>
        <v>124.2</v>
      </c>
      <c r="L518" s="627">
        <f t="shared" si="180"/>
        <v>124.2</v>
      </c>
      <c r="M518" s="42"/>
      <c r="N518" s="61"/>
      <c r="O518" s="44"/>
    </row>
    <row r="519" spans="1:18">
      <c r="A519" s="519" t="s">
        <v>304</v>
      </c>
      <c r="B519" s="26" t="s">
        <v>425</v>
      </c>
      <c r="C519" s="26" t="s">
        <v>28</v>
      </c>
      <c r="D519" s="26" t="s">
        <v>21</v>
      </c>
      <c r="E519" s="26" t="s">
        <v>1201</v>
      </c>
      <c r="F519" s="26" t="s">
        <v>305</v>
      </c>
      <c r="G519" s="147"/>
      <c r="H519" s="589"/>
      <c r="I519" s="147"/>
      <c r="J519" s="627"/>
      <c r="K519" s="627">
        <v>124.2</v>
      </c>
      <c r="L519" s="627">
        <f>J519+K519</f>
        <v>124.2</v>
      </c>
      <c r="M519" s="42"/>
      <c r="N519" s="61"/>
      <c r="O519" s="44"/>
    </row>
    <row r="520" spans="1:18" ht="75">
      <c r="A520" s="178" t="s">
        <v>1184</v>
      </c>
      <c r="B520" s="26" t="s">
        <v>425</v>
      </c>
      <c r="C520" s="26" t="s">
        <v>28</v>
      </c>
      <c r="D520" s="26" t="s">
        <v>21</v>
      </c>
      <c r="E520" s="26" t="s">
        <v>1174</v>
      </c>
      <c r="F520" s="26"/>
      <c r="G520" s="147"/>
      <c r="H520" s="589"/>
      <c r="I520" s="147"/>
      <c r="J520" s="627">
        <f>J521</f>
        <v>124.2</v>
      </c>
      <c r="K520" s="627">
        <f t="shared" ref="K520" si="181">K521</f>
        <v>0</v>
      </c>
      <c r="L520" s="627">
        <f>L521</f>
        <v>124.2</v>
      </c>
      <c r="M520" s="42"/>
      <c r="N520" s="61"/>
      <c r="O520" s="44"/>
    </row>
    <row r="521" spans="1:18" ht="30">
      <c r="A521" s="116" t="s">
        <v>135</v>
      </c>
      <c r="B521" s="26" t="s">
        <v>425</v>
      </c>
      <c r="C521" s="26" t="s">
        <v>28</v>
      </c>
      <c r="D521" s="26" t="s">
        <v>21</v>
      </c>
      <c r="E521" s="26" t="s">
        <v>1174</v>
      </c>
      <c r="F521" s="26" t="s">
        <v>133</v>
      </c>
      <c r="G521" s="147"/>
      <c r="H521" s="589"/>
      <c r="I521" s="147"/>
      <c r="J521" s="627">
        <v>124.2</v>
      </c>
      <c r="K521" s="627"/>
      <c r="L521" s="627">
        <f>J521+K521</f>
        <v>124.2</v>
      </c>
      <c r="M521" s="42"/>
      <c r="N521" s="61"/>
      <c r="O521" s="44"/>
    </row>
    <row r="522" spans="1:18" s="113" customFormat="1">
      <c r="A522" s="110" t="s">
        <v>60</v>
      </c>
      <c r="B522" s="25" t="s">
        <v>425</v>
      </c>
      <c r="C522" s="25" t="s">
        <v>28</v>
      </c>
      <c r="D522" s="25" t="s">
        <v>22</v>
      </c>
      <c r="E522" s="25"/>
      <c r="F522" s="25"/>
      <c r="G522" s="565">
        <f>G533+G538+G550+G543</f>
        <v>2000</v>
      </c>
      <c r="H522" s="207">
        <f>H533+H538+H550+H543+H541+H526+H536</f>
        <v>1667</v>
      </c>
      <c r="I522" s="207">
        <f>I533+I538+I550+I543+I541+I526+I536</f>
        <v>0</v>
      </c>
      <c r="J522" s="488">
        <f>J533+J550+J543+J538+J526+J536+J523+J555+J531</f>
        <v>20814.051999999996</v>
      </c>
      <c r="K522" s="488">
        <f>K533+K550+K543+K538+K526+K536+K523+K555+K531</f>
        <v>8706.0869999999995</v>
      </c>
      <c r="L522" s="488">
        <f>L533+L550+L543+L538+L526+L536+L523+L555+L531</f>
        <v>29520.138999999996</v>
      </c>
      <c r="M522" s="60">
        <f>M533+M550+M543+M538+M526+M536+M523+M555</f>
        <v>550</v>
      </c>
      <c r="N522" s="59">
        <f>N533+N550+N543+N538+N526+N536+N523+N555</f>
        <v>25954.978999999999</v>
      </c>
    </row>
    <row r="523" spans="1:18" s="113" customFormat="1" ht="60" hidden="1">
      <c r="A523" s="110" t="s">
        <v>468</v>
      </c>
      <c r="B523" s="26" t="s">
        <v>425</v>
      </c>
      <c r="C523" s="26" t="s">
        <v>28</v>
      </c>
      <c r="D523" s="26" t="s">
        <v>22</v>
      </c>
      <c r="E523" s="26" t="s">
        <v>469</v>
      </c>
      <c r="F523" s="26"/>
      <c r="G523" s="147"/>
      <c r="H523" s="589"/>
      <c r="I523" s="589"/>
      <c r="J523" s="627">
        <f>J524+J525</f>
        <v>0</v>
      </c>
      <c r="K523" s="627">
        <f>K524+K525</f>
        <v>0</v>
      </c>
      <c r="L523" s="627">
        <f>L524+L525</f>
        <v>0</v>
      </c>
      <c r="M523" s="29">
        <f>M524+M525</f>
        <v>0</v>
      </c>
      <c r="N523" s="30">
        <f>N524+N525</f>
        <v>0</v>
      </c>
    </row>
    <row r="524" spans="1:18" s="113" customFormat="1" hidden="1">
      <c r="A524" s="110" t="s">
        <v>470</v>
      </c>
      <c r="B524" s="26" t="s">
        <v>425</v>
      </c>
      <c r="C524" s="26" t="s">
        <v>28</v>
      </c>
      <c r="D524" s="26" t="s">
        <v>22</v>
      </c>
      <c r="E524" s="26" t="s">
        <v>469</v>
      </c>
      <c r="F524" s="26" t="s">
        <v>471</v>
      </c>
      <c r="G524" s="147"/>
      <c r="H524" s="589"/>
      <c r="I524" s="589"/>
      <c r="J524" s="628"/>
      <c r="K524" s="628"/>
      <c r="L524" s="628">
        <f>J524+K524</f>
        <v>0</v>
      </c>
      <c r="M524" s="29"/>
      <c r="N524" s="30">
        <f>L524+M524</f>
        <v>0</v>
      </c>
      <c r="O524" s="179"/>
      <c r="R524" s="113">
        <f>O524+O499+O579+O628</f>
        <v>2905</v>
      </c>
    </row>
    <row r="525" spans="1:18" s="113" customFormat="1" ht="30" hidden="1">
      <c r="A525" s="110" t="s">
        <v>482</v>
      </c>
      <c r="B525" s="26" t="s">
        <v>425</v>
      </c>
      <c r="C525" s="26" t="s">
        <v>28</v>
      </c>
      <c r="D525" s="26" t="s">
        <v>22</v>
      </c>
      <c r="E525" s="26" t="s">
        <v>483</v>
      </c>
      <c r="F525" s="26" t="s">
        <v>133</v>
      </c>
      <c r="G525" s="147"/>
      <c r="H525" s="589"/>
      <c r="I525" s="589"/>
      <c r="J525" s="627"/>
      <c r="K525" s="627"/>
      <c r="L525" s="627">
        <f>J525+K525</f>
        <v>0</v>
      </c>
      <c r="M525" s="29"/>
      <c r="N525" s="30">
        <f>L525+M525</f>
        <v>0</v>
      </c>
    </row>
    <row r="526" spans="1:18" s="113" customFormat="1" ht="45" hidden="1">
      <c r="A526" s="110" t="s">
        <v>484</v>
      </c>
      <c r="B526" s="26" t="s">
        <v>425</v>
      </c>
      <c r="C526" s="26" t="s">
        <v>28</v>
      </c>
      <c r="D526" s="26" t="s">
        <v>22</v>
      </c>
      <c r="E526" s="26" t="s">
        <v>485</v>
      </c>
      <c r="F526" s="26"/>
      <c r="G526" s="147"/>
      <c r="H526" s="147">
        <f>H527</f>
        <v>0</v>
      </c>
      <c r="I526" s="147">
        <f>I527</f>
        <v>0</v>
      </c>
      <c r="J526" s="627">
        <f>J527+J530</f>
        <v>0</v>
      </c>
      <c r="K526" s="627">
        <f>K527+K530</f>
        <v>0</v>
      </c>
      <c r="L526" s="627">
        <f>L527+L530</f>
        <v>0</v>
      </c>
      <c r="M526" s="42">
        <f>M527+M530</f>
        <v>0</v>
      </c>
      <c r="N526" s="43">
        <f>N527+N530</f>
        <v>0</v>
      </c>
    </row>
    <row r="527" spans="1:18" s="113" customFormat="1" hidden="1">
      <c r="A527" s="110" t="s">
        <v>470</v>
      </c>
      <c r="B527" s="26" t="s">
        <v>425</v>
      </c>
      <c r="C527" s="26" t="s">
        <v>28</v>
      </c>
      <c r="D527" s="26" t="s">
        <v>22</v>
      </c>
      <c r="E527" s="26" t="s">
        <v>485</v>
      </c>
      <c r="F527" s="26" t="s">
        <v>471</v>
      </c>
      <c r="G527" s="147"/>
      <c r="H527" s="147"/>
      <c r="I527" s="147"/>
      <c r="J527" s="627"/>
      <c r="K527" s="627"/>
      <c r="L527" s="627">
        <f>J527+K527</f>
        <v>0</v>
      </c>
      <c r="M527" s="42"/>
      <c r="N527" s="43">
        <f>L527+M527</f>
        <v>0</v>
      </c>
    </row>
    <row r="528" spans="1:18" s="113" customFormat="1" ht="28.5" hidden="1" customHeight="1">
      <c r="A528" s="110" t="s">
        <v>482</v>
      </c>
      <c r="B528" s="26" t="s">
        <v>425</v>
      </c>
      <c r="C528" s="26" t="s">
        <v>28</v>
      </c>
      <c r="D528" s="26" t="s">
        <v>22</v>
      </c>
      <c r="E528" s="26" t="s">
        <v>485</v>
      </c>
      <c r="F528" s="26"/>
      <c r="G528" s="147"/>
      <c r="H528" s="147"/>
      <c r="I528" s="147"/>
      <c r="J528" s="627"/>
      <c r="K528" s="627"/>
      <c r="L528" s="627">
        <f>J528+K528</f>
        <v>0</v>
      </c>
      <c r="M528" s="42"/>
      <c r="N528" s="43">
        <f>L528+M528</f>
        <v>0</v>
      </c>
    </row>
    <row r="529" spans="1:18" s="113" customFormat="1" ht="27" hidden="1" customHeight="1">
      <c r="A529" s="110" t="s">
        <v>482</v>
      </c>
      <c r="B529" s="26" t="s">
        <v>425</v>
      </c>
      <c r="C529" s="26" t="s">
        <v>28</v>
      </c>
      <c r="D529" s="26" t="s">
        <v>22</v>
      </c>
      <c r="E529" s="26" t="s">
        <v>485</v>
      </c>
      <c r="F529" s="26"/>
      <c r="G529" s="147"/>
      <c r="H529" s="147"/>
      <c r="I529" s="147"/>
      <c r="J529" s="627"/>
      <c r="K529" s="627"/>
      <c r="L529" s="627">
        <f>J529+K529</f>
        <v>0</v>
      </c>
      <c r="M529" s="42"/>
      <c r="N529" s="43">
        <f>L529+M529</f>
        <v>0</v>
      </c>
    </row>
    <row r="530" spans="1:18" s="113" customFormat="1" ht="29.25" hidden="1" customHeight="1">
      <c r="A530" s="110" t="s">
        <v>482</v>
      </c>
      <c r="B530" s="26" t="s">
        <v>425</v>
      </c>
      <c r="C530" s="26" t="s">
        <v>28</v>
      </c>
      <c r="D530" s="26" t="s">
        <v>22</v>
      </c>
      <c r="E530" s="26" t="s">
        <v>485</v>
      </c>
      <c r="F530" s="26" t="s">
        <v>133</v>
      </c>
      <c r="G530" s="147"/>
      <c r="H530" s="147"/>
      <c r="I530" s="147"/>
      <c r="J530" s="627"/>
      <c r="K530" s="627"/>
      <c r="L530" s="627">
        <f>J530+K530</f>
        <v>0</v>
      </c>
      <c r="M530" s="42"/>
      <c r="N530" s="43">
        <f>L530+M530</f>
        <v>0</v>
      </c>
    </row>
    <row r="531" spans="1:18" s="113" customFormat="1" ht="30">
      <c r="A531" s="110" t="s">
        <v>1033</v>
      </c>
      <c r="B531" s="26" t="s">
        <v>425</v>
      </c>
      <c r="C531" s="26" t="s">
        <v>28</v>
      </c>
      <c r="D531" s="26" t="s">
        <v>22</v>
      </c>
      <c r="E531" s="26" t="s">
        <v>483</v>
      </c>
      <c r="F531" s="26"/>
      <c r="G531" s="147"/>
      <c r="H531" s="147"/>
      <c r="I531" s="147"/>
      <c r="J531" s="627">
        <f>J532</f>
        <v>3587.6</v>
      </c>
      <c r="K531" s="627">
        <f>K532</f>
        <v>0</v>
      </c>
      <c r="L531" s="627">
        <f>L532</f>
        <v>3587.6</v>
      </c>
      <c r="M531" s="42"/>
      <c r="N531" s="43"/>
    </row>
    <row r="532" spans="1:18" s="113" customFormat="1">
      <c r="A532" s="116" t="s">
        <v>470</v>
      </c>
      <c r="B532" s="26" t="s">
        <v>425</v>
      </c>
      <c r="C532" s="26" t="s">
        <v>28</v>
      </c>
      <c r="D532" s="26" t="s">
        <v>22</v>
      </c>
      <c r="E532" s="26" t="s">
        <v>483</v>
      </c>
      <c r="F532" s="26" t="s">
        <v>471</v>
      </c>
      <c r="G532" s="147"/>
      <c r="H532" s="147"/>
      <c r="I532" s="147"/>
      <c r="J532" s="627">
        <v>3587.6</v>
      </c>
      <c r="K532" s="627"/>
      <c r="L532" s="627">
        <f>J532+K532</f>
        <v>3587.6</v>
      </c>
      <c r="M532" s="42"/>
      <c r="N532" s="43"/>
    </row>
    <row r="533" spans="1:18" ht="45">
      <c r="A533" s="116" t="s">
        <v>486</v>
      </c>
      <c r="B533" s="26" t="s">
        <v>425</v>
      </c>
      <c r="C533" s="26" t="s">
        <v>28</v>
      </c>
      <c r="D533" s="26" t="s">
        <v>22</v>
      </c>
      <c r="E533" s="26" t="s">
        <v>487</v>
      </c>
      <c r="F533" s="26"/>
      <c r="G533" s="147">
        <f t="shared" ref="G533:N534" si="182">G534</f>
        <v>-2838.8</v>
      </c>
      <c r="H533" s="147">
        <f t="shared" si="182"/>
        <v>1667</v>
      </c>
      <c r="I533" s="147">
        <f t="shared" si="182"/>
        <v>0</v>
      </c>
      <c r="J533" s="627">
        <f t="shared" si="182"/>
        <v>3771.0219999999999</v>
      </c>
      <c r="K533" s="627">
        <f t="shared" si="182"/>
        <v>199</v>
      </c>
      <c r="L533" s="627">
        <f t="shared" si="182"/>
        <v>3970.0219999999999</v>
      </c>
      <c r="M533" s="42">
        <f t="shared" si="182"/>
        <v>550</v>
      </c>
      <c r="N533" s="43">
        <f t="shared" si="182"/>
        <v>4520.0219999999999</v>
      </c>
    </row>
    <row r="534" spans="1:18" ht="60">
      <c r="A534" s="116" t="s">
        <v>468</v>
      </c>
      <c r="B534" s="26" t="s">
        <v>425</v>
      </c>
      <c r="C534" s="26" t="s">
        <v>28</v>
      </c>
      <c r="D534" s="26" t="s">
        <v>22</v>
      </c>
      <c r="E534" s="26" t="s">
        <v>488</v>
      </c>
      <c r="F534" s="26"/>
      <c r="G534" s="147">
        <f t="shared" si="182"/>
        <v>-2838.8</v>
      </c>
      <c r="H534" s="147">
        <f t="shared" si="182"/>
        <v>1667</v>
      </c>
      <c r="I534" s="147">
        <f t="shared" si="182"/>
        <v>0</v>
      </c>
      <c r="J534" s="627">
        <f t="shared" si="182"/>
        <v>3771.0219999999999</v>
      </c>
      <c r="K534" s="627">
        <f t="shared" si="182"/>
        <v>199</v>
      </c>
      <c r="L534" s="627">
        <f t="shared" si="182"/>
        <v>3970.0219999999999</v>
      </c>
      <c r="M534" s="42">
        <f t="shared" si="182"/>
        <v>550</v>
      </c>
      <c r="N534" s="43">
        <f t="shared" si="182"/>
        <v>4520.0219999999999</v>
      </c>
    </row>
    <row r="535" spans="1:18">
      <c r="A535" s="116" t="s">
        <v>470</v>
      </c>
      <c r="B535" s="26" t="s">
        <v>425</v>
      </c>
      <c r="C535" s="26" t="s">
        <v>28</v>
      </c>
      <c r="D535" s="26" t="s">
        <v>22</v>
      </c>
      <c r="E535" s="26" t="s">
        <v>469</v>
      </c>
      <c r="F535" s="26" t="s">
        <v>471</v>
      </c>
      <c r="G535" s="147">
        <f>-2338.8-500</f>
        <v>-2838.8</v>
      </c>
      <c r="H535" s="147">
        <v>1667</v>
      </c>
      <c r="I535" s="147"/>
      <c r="J535" s="627">
        <v>3771.0219999999999</v>
      </c>
      <c r="K535" s="627">
        <v>199</v>
      </c>
      <c r="L535" s="627">
        <f>J535+K535</f>
        <v>3970.0219999999999</v>
      </c>
      <c r="M535" s="42">
        <v>550</v>
      </c>
      <c r="N535" s="30">
        <f>L535+M535</f>
        <v>4520.0219999999999</v>
      </c>
      <c r="O535" s="44">
        <v>1076</v>
      </c>
      <c r="R535" s="15">
        <f>O535+L608</f>
        <v>1076</v>
      </c>
    </row>
    <row r="536" spans="1:18" ht="30">
      <c r="A536" s="178" t="s">
        <v>489</v>
      </c>
      <c r="B536" s="26" t="s">
        <v>425</v>
      </c>
      <c r="C536" s="26" t="s">
        <v>28</v>
      </c>
      <c r="D536" s="26" t="s">
        <v>22</v>
      </c>
      <c r="E536" s="26" t="s">
        <v>490</v>
      </c>
      <c r="F536" s="26"/>
      <c r="G536" s="147"/>
      <c r="H536" s="589">
        <f t="shared" ref="H536:N536" si="183">H537</f>
        <v>0</v>
      </c>
      <c r="I536" s="589">
        <f t="shared" si="183"/>
        <v>0</v>
      </c>
      <c r="J536" s="627">
        <f t="shared" si="183"/>
        <v>1559.83</v>
      </c>
      <c r="K536" s="627">
        <f t="shared" si="183"/>
        <v>16.527000000000001</v>
      </c>
      <c r="L536" s="627">
        <f t="shared" si="183"/>
        <v>1576.357</v>
      </c>
      <c r="M536" s="29">
        <f t="shared" si="183"/>
        <v>0</v>
      </c>
      <c r="N536" s="30">
        <f t="shared" si="183"/>
        <v>1576.357</v>
      </c>
    </row>
    <row r="537" spans="1:18" ht="26.25" customHeight="1">
      <c r="A537" s="116" t="s">
        <v>135</v>
      </c>
      <c r="B537" s="26" t="s">
        <v>425</v>
      </c>
      <c r="C537" s="26" t="s">
        <v>28</v>
      </c>
      <c r="D537" s="26" t="s">
        <v>22</v>
      </c>
      <c r="E537" s="26" t="s">
        <v>490</v>
      </c>
      <c r="F537" s="26" t="s">
        <v>133</v>
      </c>
      <c r="G537" s="147"/>
      <c r="H537" s="589"/>
      <c r="I537" s="147"/>
      <c r="J537" s="627">
        <v>1559.83</v>
      </c>
      <c r="K537" s="627">
        <f>16.527</f>
        <v>16.527000000000001</v>
      </c>
      <c r="L537" s="627">
        <f>J537+K537</f>
        <v>1576.357</v>
      </c>
      <c r="M537" s="42"/>
      <c r="N537" s="30">
        <f>L537+M537</f>
        <v>1576.357</v>
      </c>
      <c r="O537" s="44">
        <v>576</v>
      </c>
      <c r="P537" s="15">
        <f>L537-O537</f>
        <v>1000.357</v>
      </c>
    </row>
    <row r="538" spans="1:18">
      <c r="A538" s="116" t="s">
        <v>491</v>
      </c>
      <c r="B538" s="26" t="s">
        <v>425</v>
      </c>
      <c r="C538" s="26" t="s">
        <v>28</v>
      </c>
      <c r="D538" s="26" t="s">
        <v>22</v>
      </c>
      <c r="E538" s="26" t="s">
        <v>492</v>
      </c>
      <c r="F538" s="26"/>
      <c r="G538" s="147">
        <f>G539+G541</f>
        <v>0</v>
      </c>
      <c r="H538" s="147"/>
      <c r="I538" s="147">
        <f t="shared" ref="I538:N538" si="184">I539+I541</f>
        <v>0</v>
      </c>
      <c r="J538" s="627">
        <f>J539+J541+J548</f>
        <v>10795.6</v>
      </c>
      <c r="K538" s="627">
        <f t="shared" ref="K538:L538" si="185">K539+K541+K548</f>
        <v>8487.7999999999993</v>
      </c>
      <c r="L538" s="627">
        <f t="shared" si="185"/>
        <v>19283.399999999998</v>
      </c>
      <c r="M538" s="42">
        <f t="shared" si="184"/>
        <v>0</v>
      </c>
      <c r="N538" s="43">
        <f t="shared" si="184"/>
        <v>19258.599999999999</v>
      </c>
    </row>
    <row r="539" spans="1:18" ht="19.5" customHeight="1">
      <c r="A539" s="180" t="s">
        <v>493</v>
      </c>
      <c r="B539" s="26" t="s">
        <v>425</v>
      </c>
      <c r="C539" s="26" t="s">
        <v>28</v>
      </c>
      <c r="D539" s="26" t="s">
        <v>22</v>
      </c>
      <c r="E539" s="26" t="s">
        <v>494</v>
      </c>
      <c r="F539" s="26"/>
      <c r="G539" s="147">
        <f t="shared" ref="G539:N539" si="186">G540</f>
        <v>-1750</v>
      </c>
      <c r="H539" s="147">
        <f t="shared" si="186"/>
        <v>0</v>
      </c>
      <c r="I539" s="147">
        <f t="shared" si="186"/>
        <v>0</v>
      </c>
      <c r="J539" s="627">
        <f t="shared" si="186"/>
        <v>10795.6</v>
      </c>
      <c r="K539" s="627">
        <f t="shared" si="186"/>
        <v>8463</v>
      </c>
      <c r="L539" s="627">
        <f t="shared" si="186"/>
        <v>19258.599999999999</v>
      </c>
      <c r="M539" s="42">
        <f t="shared" si="186"/>
        <v>0</v>
      </c>
      <c r="N539" s="43">
        <f t="shared" si="186"/>
        <v>19258.599999999999</v>
      </c>
    </row>
    <row r="540" spans="1:18" ht="13.5" customHeight="1">
      <c r="A540" s="116" t="s">
        <v>470</v>
      </c>
      <c r="B540" s="26" t="s">
        <v>425</v>
      </c>
      <c r="C540" s="26" t="s">
        <v>28</v>
      </c>
      <c r="D540" s="26" t="s">
        <v>22</v>
      </c>
      <c r="E540" s="26" t="s">
        <v>495</v>
      </c>
      <c r="F540" s="26" t="s">
        <v>471</v>
      </c>
      <c r="G540" s="147">
        <v>-1750</v>
      </c>
      <c r="H540" s="589"/>
      <c r="I540" s="147"/>
      <c r="J540" s="627">
        <v>10795.6</v>
      </c>
      <c r="K540" s="627">
        <f>6498+1965</f>
        <v>8463</v>
      </c>
      <c r="L540" s="627">
        <f>J540+K540</f>
        <v>19258.599999999999</v>
      </c>
      <c r="M540" s="42"/>
      <c r="N540" s="30">
        <f>L540+M540</f>
        <v>19258.599999999999</v>
      </c>
    </row>
    <row r="541" spans="1:18" ht="27.75" hidden="1" customHeight="1">
      <c r="A541" s="180" t="s">
        <v>496</v>
      </c>
      <c r="B541" s="26" t="s">
        <v>425</v>
      </c>
      <c r="C541" s="26" t="s">
        <v>28</v>
      </c>
      <c r="D541" s="26" t="s">
        <v>22</v>
      </c>
      <c r="E541" s="26" t="s">
        <v>497</v>
      </c>
      <c r="F541" s="26"/>
      <c r="G541" s="147">
        <f t="shared" ref="G541:N541" si="187">G542</f>
        <v>1750</v>
      </c>
      <c r="H541" s="147">
        <f t="shared" si="187"/>
        <v>0</v>
      </c>
      <c r="I541" s="147">
        <f t="shared" si="187"/>
        <v>0</v>
      </c>
      <c r="J541" s="627">
        <f t="shared" si="187"/>
        <v>0</v>
      </c>
      <c r="K541" s="627">
        <f t="shared" si="187"/>
        <v>0</v>
      </c>
      <c r="L541" s="627">
        <f t="shared" si="187"/>
        <v>0</v>
      </c>
      <c r="M541" s="42">
        <f t="shared" si="187"/>
        <v>0</v>
      </c>
      <c r="N541" s="43">
        <f t="shared" si="187"/>
        <v>0</v>
      </c>
    </row>
    <row r="542" spans="1:18" ht="13.5" hidden="1" customHeight="1">
      <c r="A542" s="116" t="s">
        <v>470</v>
      </c>
      <c r="B542" s="26" t="s">
        <v>425</v>
      </c>
      <c r="C542" s="26" t="s">
        <v>28</v>
      </c>
      <c r="D542" s="26" t="s">
        <v>22</v>
      </c>
      <c r="E542" s="26" t="s">
        <v>497</v>
      </c>
      <c r="F542" s="26" t="s">
        <v>471</v>
      </c>
      <c r="G542" s="147">
        <v>1750</v>
      </c>
      <c r="H542" s="589"/>
      <c r="I542" s="147"/>
      <c r="J542" s="627"/>
      <c r="K542" s="627"/>
      <c r="L542" s="627">
        <f>J542+K542</f>
        <v>0</v>
      </c>
      <c r="M542" s="42"/>
      <c r="N542" s="30">
        <f>L542+M542</f>
        <v>0</v>
      </c>
    </row>
    <row r="543" spans="1:18" ht="53.25" hidden="1" customHeight="1">
      <c r="A543" s="116" t="s">
        <v>498</v>
      </c>
      <c r="B543" s="26" t="s">
        <v>425</v>
      </c>
      <c r="C543" s="26" t="s">
        <v>28</v>
      </c>
      <c r="D543" s="26" t="s">
        <v>22</v>
      </c>
      <c r="E543" s="26" t="s">
        <v>499</v>
      </c>
      <c r="F543" s="26"/>
      <c r="G543" s="147">
        <f t="shared" ref="G543:M543" si="188">G544+G546</f>
        <v>4338.8</v>
      </c>
      <c r="H543" s="147">
        <f t="shared" si="188"/>
        <v>0</v>
      </c>
      <c r="I543" s="147">
        <f t="shared" si="188"/>
        <v>0</v>
      </c>
      <c r="J543" s="627">
        <f t="shared" si="188"/>
        <v>0</v>
      </c>
      <c r="K543" s="627">
        <f t="shared" si="188"/>
        <v>0</v>
      </c>
      <c r="L543" s="627">
        <f t="shared" si="188"/>
        <v>0</v>
      </c>
      <c r="M543" s="42">
        <f t="shared" si="188"/>
        <v>0</v>
      </c>
      <c r="N543" s="43">
        <f>N544+N546</f>
        <v>0</v>
      </c>
    </row>
    <row r="544" spans="1:18" ht="30" hidden="1" customHeight="1">
      <c r="A544" s="93" t="s">
        <v>500</v>
      </c>
      <c r="B544" s="26" t="s">
        <v>425</v>
      </c>
      <c r="C544" s="26" t="s">
        <v>28</v>
      </c>
      <c r="D544" s="26" t="s">
        <v>22</v>
      </c>
      <c r="E544" s="26" t="s">
        <v>501</v>
      </c>
      <c r="F544" s="26"/>
      <c r="G544" s="147">
        <f t="shared" ref="G544:N544" si="189">G545</f>
        <v>2338.8000000000002</v>
      </c>
      <c r="H544" s="147">
        <f t="shared" si="189"/>
        <v>0</v>
      </c>
      <c r="I544" s="147">
        <f t="shared" si="189"/>
        <v>0</v>
      </c>
      <c r="J544" s="627">
        <f t="shared" si="189"/>
        <v>0</v>
      </c>
      <c r="K544" s="627">
        <f t="shared" si="189"/>
        <v>0</v>
      </c>
      <c r="L544" s="627">
        <f t="shared" si="189"/>
        <v>0</v>
      </c>
      <c r="M544" s="42">
        <f t="shared" si="189"/>
        <v>0</v>
      </c>
      <c r="N544" s="43">
        <f t="shared" si="189"/>
        <v>0</v>
      </c>
    </row>
    <row r="545" spans="1:16" ht="15" hidden="1" customHeight="1">
      <c r="A545" s="116" t="s">
        <v>470</v>
      </c>
      <c r="B545" s="26" t="s">
        <v>425</v>
      </c>
      <c r="C545" s="26" t="s">
        <v>28</v>
      </c>
      <c r="D545" s="26" t="s">
        <v>22</v>
      </c>
      <c r="E545" s="26" t="s">
        <v>501</v>
      </c>
      <c r="F545" s="26" t="s">
        <v>471</v>
      </c>
      <c r="G545" s="147">
        <v>2338.8000000000002</v>
      </c>
      <c r="H545" s="589"/>
      <c r="I545" s="147"/>
      <c r="J545" s="627">
        <f>H545+I545</f>
        <v>0</v>
      </c>
      <c r="K545" s="627">
        <f>1500-1500</f>
        <v>0</v>
      </c>
      <c r="L545" s="627">
        <f>J545+K545</f>
        <v>0</v>
      </c>
      <c r="M545" s="42">
        <f>1500-1500</f>
        <v>0</v>
      </c>
      <c r="N545" s="30">
        <f>L545+M545</f>
        <v>0</v>
      </c>
    </row>
    <row r="546" spans="1:16" ht="60" hidden="1" customHeight="1">
      <c r="A546" s="116" t="s">
        <v>502</v>
      </c>
      <c r="B546" s="26" t="s">
        <v>425</v>
      </c>
      <c r="C546" s="26" t="s">
        <v>28</v>
      </c>
      <c r="D546" s="26" t="s">
        <v>22</v>
      </c>
      <c r="E546" s="26" t="s">
        <v>503</v>
      </c>
      <c r="F546" s="26"/>
      <c r="G546" s="147">
        <f t="shared" ref="G546:N546" si="190">G547</f>
        <v>2000</v>
      </c>
      <c r="H546" s="147">
        <f t="shared" si="190"/>
        <v>0</v>
      </c>
      <c r="I546" s="147">
        <f t="shared" si="190"/>
        <v>0</v>
      </c>
      <c r="J546" s="627">
        <f t="shared" si="190"/>
        <v>0</v>
      </c>
      <c r="K546" s="627">
        <f t="shared" si="190"/>
        <v>0</v>
      </c>
      <c r="L546" s="627">
        <f t="shared" si="190"/>
        <v>0</v>
      </c>
      <c r="M546" s="42">
        <f t="shared" si="190"/>
        <v>0</v>
      </c>
      <c r="N546" s="43">
        <f t="shared" si="190"/>
        <v>0</v>
      </c>
    </row>
    <row r="547" spans="1:16" ht="15" hidden="1" customHeight="1">
      <c r="A547" s="116" t="s">
        <v>470</v>
      </c>
      <c r="B547" s="26" t="s">
        <v>425</v>
      </c>
      <c r="C547" s="26" t="s">
        <v>28</v>
      </c>
      <c r="D547" s="26" t="s">
        <v>22</v>
      </c>
      <c r="E547" s="26" t="s">
        <v>503</v>
      </c>
      <c r="F547" s="26" t="s">
        <v>471</v>
      </c>
      <c r="G547" s="147">
        <v>2000</v>
      </c>
      <c r="H547" s="589"/>
      <c r="I547" s="147"/>
      <c r="J547" s="627">
        <f>H547+I547</f>
        <v>0</v>
      </c>
      <c r="K547" s="627"/>
      <c r="L547" s="627">
        <f>J547+K547</f>
        <v>0</v>
      </c>
      <c r="M547" s="42"/>
      <c r="N547" s="30">
        <f>L547+M547</f>
        <v>0</v>
      </c>
    </row>
    <row r="548" spans="1:16" ht="45">
      <c r="A548" s="116" t="s">
        <v>1199</v>
      </c>
      <c r="B548" s="26" t="s">
        <v>425</v>
      </c>
      <c r="C548" s="26" t="s">
        <v>28</v>
      </c>
      <c r="D548" s="26" t="s">
        <v>22</v>
      </c>
      <c r="E548" s="26" t="s">
        <v>1198</v>
      </c>
      <c r="F548" s="26"/>
      <c r="G548" s="147"/>
      <c r="H548" s="589"/>
      <c r="I548" s="147"/>
      <c r="J548" s="627">
        <f>J549</f>
        <v>0</v>
      </c>
      <c r="K548" s="627">
        <f t="shared" ref="K548:N548" si="191">K549</f>
        <v>24.8</v>
      </c>
      <c r="L548" s="627">
        <f t="shared" si="191"/>
        <v>24.8</v>
      </c>
      <c r="M548" s="466">
        <f t="shared" si="191"/>
        <v>0</v>
      </c>
      <c r="N548" s="378">
        <f t="shared" si="191"/>
        <v>0</v>
      </c>
    </row>
    <row r="549" spans="1:16" ht="15" customHeight="1">
      <c r="A549" s="519" t="s">
        <v>304</v>
      </c>
      <c r="B549" s="26" t="s">
        <v>425</v>
      </c>
      <c r="C549" s="26" t="s">
        <v>28</v>
      </c>
      <c r="D549" s="26" t="s">
        <v>22</v>
      </c>
      <c r="E549" s="26" t="s">
        <v>1198</v>
      </c>
      <c r="F549" s="26" t="s">
        <v>305</v>
      </c>
      <c r="G549" s="147"/>
      <c r="H549" s="589"/>
      <c r="I549" s="147"/>
      <c r="J549" s="627"/>
      <c r="K549" s="627">
        <v>24.8</v>
      </c>
      <c r="L549" s="627">
        <f>J549+K549</f>
        <v>24.8</v>
      </c>
      <c r="M549" s="42"/>
      <c r="N549" s="30"/>
    </row>
    <row r="550" spans="1:16" ht="15" customHeight="1">
      <c r="A550" s="116" t="s">
        <v>504</v>
      </c>
      <c r="B550" s="26" t="s">
        <v>425</v>
      </c>
      <c r="C550" s="26" t="s">
        <v>28</v>
      </c>
      <c r="D550" s="26" t="s">
        <v>22</v>
      </c>
      <c r="E550" s="26" t="s">
        <v>413</v>
      </c>
      <c r="F550" s="26"/>
      <c r="G550" s="147">
        <f t="shared" ref="G550:N550" si="192">G553</f>
        <v>500</v>
      </c>
      <c r="H550" s="147">
        <f t="shared" si="192"/>
        <v>0</v>
      </c>
      <c r="I550" s="147">
        <f t="shared" si="192"/>
        <v>0</v>
      </c>
      <c r="J550" s="627">
        <f>J553+J551</f>
        <v>600</v>
      </c>
      <c r="K550" s="627">
        <f t="shared" ref="K550:L550" si="193">K553+K551</f>
        <v>2.76</v>
      </c>
      <c r="L550" s="627">
        <f t="shared" si="193"/>
        <v>602.76</v>
      </c>
      <c r="M550" s="42">
        <f t="shared" si="192"/>
        <v>0</v>
      </c>
      <c r="N550" s="43">
        <f t="shared" si="192"/>
        <v>600</v>
      </c>
    </row>
    <row r="551" spans="1:16" ht="42" customHeight="1">
      <c r="A551" s="110" t="s">
        <v>225</v>
      </c>
      <c r="B551" s="26" t="s">
        <v>425</v>
      </c>
      <c r="C551" s="26" t="s">
        <v>28</v>
      </c>
      <c r="D551" s="26" t="s">
        <v>22</v>
      </c>
      <c r="E551" s="26" t="s">
        <v>226</v>
      </c>
      <c r="F551" s="26"/>
      <c r="G551" s="67"/>
      <c r="H551" s="66"/>
      <c r="I551" s="67"/>
      <c r="J551" s="627">
        <f>J552</f>
        <v>0</v>
      </c>
      <c r="K551" s="627">
        <f>K552</f>
        <v>2.76</v>
      </c>
      <c r="L551" s="627">
        <f>L552</f>
        <v>2.76</v>
      </c>
      <c r="M551" s="42"/>
      <c r="N551" s="30"/>
      <c r="P551" s="15"/>
    </row>
    <row r="552" spans="1:16" ht="27.75" customHeight="1">
      <c r="A552" s="110" t="s">
        <v>135</v>
      </c>
      <c r="B552" s="26" t="s">
        <v>425</v>
      </c>
      <c r="C552" s="26" t="s">
        <v>28</v>
      </c>
      <c r="D552" s="26" t="s">
        <v>22</v>
      </c>
      <c r="E552" s="26" t="s">
        <v>226</v>
      </c>
      <c r="F552" s="26" t="s">
        <v>133</v>
      </c>
      <c r="G552" s="67"/>
      <c r="H552" s="66"/>
      <c r="I552" s="67"/>
      <c r="J552" s="627"/>
      <c r="K552" s="627">
        <v>2.76</v>
      </c>
      <c r="L552" s="627">
        <f>J552+K552</f>
        <v>2.76</v>
      </c>
      <c r="M552" s="42"/>
      <c r="N552" s="30"/>
      <c r="P552" s="15"/>
    </row>
    <row r="553" spans="1:16" ht="45">
      <c r="A553" s="116" t="s">
        <v>505</v>
      </c>
      <c r="B553" s="26" t="s">
        <v>425</v>
      </c>
      <c r="C553" s="26" t="s">
        <v>28</v>
      </c>
      <c r="D553" s="26" t="s">
        <v>22</v>
      </c>
      <c r="E553" s="26" t="s">
        <v>506</v>
      </c>
      <c r="F553" s="26"/>
      <c r="G553" s="147">
        <f t="shared" ref="G553:N553" si="194">G554</f>
        <v>500</v>
      </c>
      <c r="H553" s="147">
        <f t="shared" si="194"/>
        <v>0</v>
      </c>
      <c r="I553" s="147">
        <f t="shared" si="194"/>
        <v>0</v>
      </c>
      <c r="J553" s="627">
        <f t="shared" si="194"/>
        <v>600</v>
      </c>
      <c r="K553" s="627">
        <f t="shared" si="194"/>
        <v>0</v>
      </c>
      <c r="L553" s="627">
        <f t="shared" si="194"/>
        <v>600</v>
      </c>
      <c r="M553" s="42">
        <f t="shared" si="194"/>
        <v>0</v>
      </c>
      <c r="N553" s="43">
        <f t="shared" si="194"/>
        <v>600</v>
      </c>
    </row>
    <row r="554" spans="1:16" ht="30" customHeight="1">
      <c r="A554" s="116" t="s">
        <v>135</v>
      </c>
      <c r="B554" s="26" t="s">
        <v>425</v>
      </c>
      <c r="C554" s="26" t="s">
        <v>28</v>
      </c>
      <c r="D554" s="26" t="s">
        <v>22</v>
      </c>
      <c r="E554" s="26" t="s">
        <v>506</v>
      </c>
      <c r="F554" s="26" t="s">
        <v>133</v>
      </c>
      <c r="G554" s="147">
        <v>500</v>
      </c>
      <c r="H554" s="589"/>
      <c r="I554" s="147"/>
      <c r="J554" s="627">
        <v>600</v>
      </c>
      <c r="K554" s="627"/>
      <c r="L554" s="627">
        <f>J554+K554</f>
        <v>600</v>
      </c>
      <c r="M554" s="42"/>
      <c r="N554" s="30">
        <f>L554+M554</f>
        <v>600</v>
      </c>
    </row>
    <row r="555" spans="1:16" ht="45">
      <c r="A555" s="116" t="s">
        <v>1035</v>
      </c>
      <c r="B555" s="26" t="s">
        <v>425</v>
      </c>
      <c r="C555" s="26" t="s">
        <v>28</v>
      </c>
      <c r="D555" s="26" t="s">
        <v>22</v>
      </c>
      <c r="E555" s="26" t="s">
        <v>1031</v>
      </c>
      <c r="F555" s="26"/>
      <c r="G555" s="147"/>
      <c r="H555" s="589"/>
      <c r="I555" s="147"/>
      <c r="J555" s="627">
        <f>J556</f>
        <v>500</v>
      </c>
      <c r="K555" s="627">
        <f>K556</f>
        <v>0</v>
      </c>
      <c r="L555" s="627">
        <f>L556</f>
        <v>500</v>
      </c>
      <c r="M555" s="42"/>
      <c r="N555" s="30"/>
    </row>
    <row r="556" spans="1:16" ht="30">
      <c r="A556" s="116" t="s">
        <v>135</v>
      </c>
      <c r="B556" s="26" t="s">
        <v>425</v>
      </c>
      <c r="C556" s="26" t="s">
        <v>28</v>
      </c>
      <c r="D556" s="26" t="s">
        <v>22</v>
      </c>
      <c r="E556" s="26" t="s">
        <v>1031</v>
      </c>
      <c r="F556" s="26" t="s">
        <v>133</v>
      </c>
      <c r="G556" s="147"/>
      <c r="H556" s="589"/>
      <c r="I556" s="147"/>
      <c r="J556" s="627">
        <v>500</v>
      </c>
      <c r="K556" s="627"/>
      <c r="L556" s="627">
        <f>J556+K556</f>
        <v>500</v>
      </c>
      <c r="M556" s="42"/>
      <c r="N556" s="30"/>
    </row>
    <row r="557" spans="1:16" s="113" customFormat="1" ht="17.25" customHeight="1">
      <c r="A557" s="119" t="s">
        <v>507</v>
      </c>
      <c r="B557" s="25" t="s">
        <v>425</v>
      </c>
      <c r="C557" s="25" t="s">
        <v>28</v>
      </c>
      <c r="D557" s="25" t="s">
        <v>24</v>
      </c>
      <c r="E557" s="25"/>
      <c r="F557" s="25"/>
      <c r="G557" s="565">
        <f t="shared" ref="G557:N557" si="195">G558</f>
        <v>-786.5</v>
      </c>
      <c r="H557" s="565">
        <f t="shared" si="195"/>
        <v>0</v>
      </c>
      <c r="I557" s="565">
        <f t="shared" si="195"/>
        <v>0</v>
      </c>
      <c r="J557" s="488">
        <f t="shared" si="195"/>
        <v>1890</v>
      </c>
      <c r="K557" s="488">
        <f t="shared" si="195"/>
        <v>-110</v>
      </c>
      <c r="L557" s="488">
        <f t="shared" si="195"/>
        <v>1780</v>
      </c>
      <c r="M557" s="95">
        <f t="shared" si="195"/>
        <v>0</v>
      </c>
      <c r="N557" s="96">
        <f t="shared" si="195"/>
        <v>280</v>
      </c>
    </row>
    <row r="558" spans="1:16" ht="15.75" customHeight="1">
      <c r="A558" s="174" t="s">
        <v>61</v>
      </c>
      <c r="B558" s="26" t="s">
        <v>425</v>
      </c>
      <c r="C558" s="26" t="s">
        <v>28</v>
      </c>
      <c r="D558" s="26" t="s">
        <v>24</v>
      </c>
      <c r="E558" s="26" t="s">
        <v>508</v>
      </c>
      <c r="F558" s="26"/>
      <c r="G558" s="147">
        <f>G561</f>
        <v>-786.5</v>
      </c>
      <c r="H558" s="147">
        <f>H561</f>
        <v>0</v>
      </c>
      <c r="I558" s="147">
        <f>I561</f>
        <v>0</v>
      </c>
      <c r="J558" s="627">
        <f>J561+J559</f>
        <v>1890</v>
      </c>
      <c r="K558" s="627">
        <f>K561+K559</f>
        <v>-110</v>
      </c>
      <c r="L558" s="627">
        <f>L561+L559</f>
        <v>1780</v>
      </c>
      <c r="M558" s="42">
        <f>M561</f>
        <v>0</v>
      </c>
      <c r="N558" s="43">
        <f>N561</f>
        <v>280</v>
      </c>
    </row>
    <row r="559" spans="1:16" ht="27" customHeight="1">
      <c r="A559" s="174" t="s">
        <v>463</v>
      </c>
      <c r="B559" s="26" t="s">
        <v>425</v>
      </c>
      <c r="C559" s="26" t="s">
        <v>28</v>
      </c>
      <c r="D559" s="26" t="s">
        <v>24</v>
      </c>
      <c r="E559" s="26" t="s">
        <v>1032</v>
      </c>
      <c r="F559" s="26"/>
      <c r="G559" s="147"/>
      <c r="H559" s="147"/>
      <c r="I559" s="147"/>
      <c r="J559" s="627">
        <f>J560</f>
        <v>1500</v>
      </c>
      <c r="K559" s="627">
        <f>K560</f>
        <v>0</v>
      </c>
      <c r="L559" s="627">
        <f>L560</f>
        <v>1500</v>
      </c>
      <c r="M559" s="42"/>
      <c r="N559" s="43"/>
    </row>
    <row r="560" spans="1:16" ht="27.75" customHeight="1">
      <c r="A560" s="116" t="s">
        <v>135</v>
      </c>
      <c r="B560" s="26" t="s">
        <v>425</v>
      </c>
      <c r="C560" s="26" t="s">
        <v>28</v>
      </c>
      <c r="D560" s="26" t="s">
        <v>24</v>
      </c>
      <c r="E560" s="26" t="s">
        <v>1032</v>
      </c>
      <c r="F560" s="26" t="s">
        <v>133</v>
      </c>
      <c r="G560" s="147"/>
      <c r="H560" s="147"/>
      <c r="I560" s="147"/>
      <c r="J560" s="627">
        <v>1500</v>
      </c>
      <c r="K560" s="627"/>
      <c r="L560" s="627">
        <f>J560+K560</f>
        <v>1500</v>
      </c>
      <c r="M560" s="42"/>
      <c r="N560" s="43"/>
    </row>
    <row r="561" spans="1:15" ht="30" customHeight="1">
      <c r="A561" s="174" t="s">
        <v>509</v>
      </c>
      <c r="B561" s="26" t="s">
        <v>425</v>
      </c>
      <c r="C561" s="26" t="s">
        <v>28</v>
      </c>
      <c r="D561" s="26" t="s">
        <v>24</v>
      </c>
      <c r="E561" s="26" t="s">
        <v>510</v>
      </c>
      <c r="F561" s="26"/>
      <c r="G561" s="147">
        <f t="shared" ref="G561:N561" si="196">G562</f>
        <v>-786.5</v>
      </c>
      <c r="H561" s="147">
        <f t="shared" si="196"/>
        <v>0</v>
      </c>
      <c r="I561" s="147">
        <f t="shared" si="196"/>
        <v>0</v>
      </c>
      <c r="J561" s="627">
        <f t="shared" si="196"/>
        <v>390</v>
      </c>
      <c r="K561" s="627">
        <f t="shared" si="196"/>
        <v>-110</v>
      </c>
      <c r="L561" s="627">
        <f t="shared" si="196"/>
        <v>280</v>
      </c>
      <c r="M561" s="42">
        <f t="shared" si="196"/>
        <v>0</v>
      </c>
      <c r="N561" s="43">
        <f t="shared" si="196"/>
        <v>280</v>
      </c>
    </row>
    <row r="562" spans="1:15" ht="30" customHeight="1">
      <c r="A562" s="116" t="s">
        <v>135</v>
      </c>
      <c r="B562" s="26" t="s">
        <v>425</v>
      </c>
      <c r="C562" s="26" t="s">
        <v>28</v>
      </c>
      <c r="D562" s="26" t="s">
        <v>24</v>
      </c>
      <c r="E562" s="26" t="s">
        <v>510</v>
      </c>
      <c r="F562" s="26" t="s">
        <v>133</v>
      </c>
      <c r="G562" s="147">
        <v>-786.5</v>
      </c>
      <c r="H562" s="589"/>
      <c r="I562" s="147"/>
      <c r="J562" s="627">
        <v>390</v>
      </c>
      <c r="K562" s="627">
        <f>-70-40</f>
        <v>-110</v>
      </c>
      <c r="L562" s="627">
        <f>J562+K562</f>
        <v>280</v>
      </c>
      <c r="M562" s="42"/>
      <c r="N562" s="30">
        <f>L562+M562</f>
        <v>280</v>
      </c>
    </row>
    <row r="563" spans="1:15" s="113" customFormat="1" ht="15.75" hidden="1" customHeight="1">
      <c r="A563" s="119" t="s">
        <v>62</v>
      </c>
      <c r="B563" s="25" t="s">
        <v>425</v>
      </c>
      <c r="C563" s="25" t="s">
        <v>28</v>
      </c>
      <c r="D563" s="25" t="s">
        <v>28</v>
      </c>
      <c r="E563" s="25"/>
      <c r="F563" s="25"/>
      <c r="G563" s="565">
        <f t="shared" ref="G563:N563" si="197">G564</f>
        <v>-2222</v>
      </c>
      <c r="H563" s="565">
        <f t="shared" si="197"/>
        <v>0</v>
      </c>
      <c r="I563" s="565">
        <f t="shared" si="197"/>
        <v>0</v>
      </c>
      <c r="J563" s="488">
        <f>J564+J567</f>
        <v>0</v>
      </c>
      <c r="K563" s="488">
        <f>K564+K567</f>
        <v>0</v>
      </c>
      <c r="L563" s="488">
        <f>L564+L567</f>
        <v>0</v>
      </c>
      <c r="M563" s="95">
        <f t="shared" si="197"/>
        <v>0</v>
      </c>
      <c r="N563" s="96">
        <f t="shared" si="197"/>
        <v>0</v>
      </c>
    </row>
    <row r="564" spans="1:15" ht="15" hidden="1" customHeight="1">
      <c r="A564" s="116" t="s">
        <v>468</v>
      </c>
      <c r="B564" s="26" t="s">
        <v>425</v>
      </c>
      <c r="C564" s="26" t="s">
        <v>28</v>
      </c>
      <c r="D564" s="26" t="s">
        <v>28</v>
      </c>
      <c r="E564" s="26" t="s">
        <v>488</v>
      </c>
      <c r="F564" s="26"/>
      <c r="G564" s="147">
        <f t="shared" ref="G564:M564" si="198">G565+G566</f>
        <v>-2222</v>
      </c>
      <c r="H564" s="147">
        <f t="shared" si="198"/>
        <v>0</v>
      </c>
      <c r="I564" s="147">
        <f t="shared" si="198"/>
        <v>0</v>
      </c>
      <c r="J564" s="627">
        <f t="shared" si="198"/>
        <v>0</v>
      </c>
      <c r="K564" s="627">
        <f t="shared" si="198"/>
        <v>0</v>
      </c>
      <c r="L564" s="627">
        <f t="shared" si="198"/>
        <v>0</v>
      </c>
      <c r="M564" s="42">
        <f t="shared" si="198"/>
        <v>0</v>
      </c>
      <c r="N564" s="43">
        <f>N565+N566</f>
        <v>0</v>
      </c>
    </row>
    <row r="565" spans="1:15" ht="18" hidden="1" customHeight="1">
      <c r="A565" s="116" t="s">
        <v>470</v>
      </c>
      <c r="B565" s="26" t="s">
        <v>425</v>
      </c>
      <c r="C565" s="26" t="s">
        <v>28</v>
      </c>
      <c r="D565" s="26" t="s">
        <v>28</v>
      </c>
      <c r="E565" s="26" t="s">
        <v>485</v>
      </c>
      <c r="F565" s="26" t="s">
        <v>471</v>
      </c>
      <c r="G565" s="147">
        <v>-2000</v>
      </c>
      <c r="H565" s="589"/>
      <c r="I565" s="147"/>
      <c r="J565" s="627">
        <f>H565+I565</f>
        <v>0</v>
      </c>
      <c r="K565" s="627"/>
      <c r="L565" s="627">
        <f>J565+K565</f>
        <v>0</v>
      </c>
      <c r="M565" s="42"/>
      <c r="N565" s="30">
        <f>L565+M565</f>
        <v>0</v>
      </c>
    </row>
    <row r="566" spans="1:15" ht="15.75" hidden="1" customHeight="1">
      <c r="A566" s="116" t="s">
        <v>511</v>
      </c>
      <c r="B566" s="26" t="s">
        <v>425</v>
      </c>
      <c r="C566" s="26" t="s">
        <v>28</v>
      </c>
      <c r="D566" s="26" t="s">
        <v>28</v>
      </c>
      <c r="E566" s="26" t="s">
        <v>469</v>
      </c>
      <c r="F566" s="26" t="s">
        <v>471</v>
      </c>
      <c r="G566" s="147">
        <v>-222</v>
      </c>
      <c r="H566" s="589"/>
      <c r="I566" s="147"/>
      <c r="J566" s="627">
        <f>H566+I566</f>
        <v>0</v>
      </c>
      <c r="K566" s="627"/>
      <c r="L566" s="627">
        <f>J566+K566</f>
        <v>0</v>
      </c>
      <c r="M566" s="42"/>
      <c r="N566" s="30">
        <f>L566+M566</f>
        <v>0</v>
      </c>
      <c r="O566" s="44"/>
    </row>
    <row r="567" spans="1:15" ht="15" hidden="1" customHeight="1">
      <c r="A567" s="116" t="s">
        <v>512</v>
      </c>
      <c r="B567" s="26" t="s">
        <v>425</v>
      </c>
      <c r="C567" s="26" t="s">
        <v>28</v>
      </c>
      <c r="D567" s="26" t="s">
        <v>28</v>
      </c>
      <c r="E567" s="26" t="s">
        <v>499</v>
      </c>
      <c r="F567" s="26"/>
      <c r="G567" s="147"/>
      <c r="H567" s="589"/>
      <c r="I567" s="147"/>
      <c r="J567" s="627">
        <f>J568</f>
        <v>0</v>
      </c>
      <c r="K567" s="627">
        <f>K568</f>
        <v>0</v>
      </c>
      <c r="L567" s="627">
        <f>L568</f>
        <v>0</v>
      </c>
      <c r="M567" s="42"/>
      <c r="N567" s="30"/>
    </row>
    <row r="568" spans="1:15" ht="12.75" hidden="1" customHeight="1">
      <c r="A568" s="116" t="s">
        <v>470</v>
      </c>
      <c r="B568" s="26" t="s">
        <v>425</v>
      </c>
      <c r="C568" s="26" t="s">
        <v>28</v>
      </c>
      <c r="D568" s="26" t="s">
        <v>28</v>
      </c>
      <c r="E568" s="26" t="s">
        <v>503</v>
      </c>
      <c r="F568" s="26" t="s">
        <v>471</v>
      </c>
      <c r="G568" s="147"/>
      <c r="H568" s="589"/>
      <c r="I568" s="147"/>
      <c r="J568" s="627">
        <f>H568+I568</f>
        <v>0</v>
      </c>
      <c r="K568" s="627"/>
      <c r="L568" s="627">
        <f>J568+K568</f>
        <v>0</v>
      </c>
      <c r="M568" s="42"/>
      <c r="N568" s="30"/>
    </row>
    <row r="569" spans="1:15" s="161" customFormat="1" ht="14.25">
      <c r="A569" s="181" t="s">
        <v>63</v>
      </c>
      <c r="B569" s="34" t="s">
        <v>425</v>
      </c>
      <c r="C569" s="34" t="s">
        <v>32</v>
      </c>
      <c r="D569" s="34"/>
      <c r="E569" s="34"/>
      <c r="F569" s="34"/>
      <c r="G569" s="585" t="e">
        <f>G592+G598+#REF!</f>
        <v>#REF!</v>
      </c>
      <c r="H569" s="588">
        <f>H592+H598+H570</f>
        <v>682.72</v>
      </c>
      <c r="I569" s="588">
        <f>I592+I598+I570</f>
        <v>0</v>
      </c>
      <c r="J569" s="379">
        <f>J570+J574+J592+J598+J601</f>
        <v>84605.828089999995</v>
      </c>
      <c r="K569" s="379">
        <f t="shared" ref="K569:L569" si="199">K570+K574+K592+K598+K601</f>
        <v>32000.652000000002</v>
      </c>
      <c r="L569" s="379">
        <f t="shared" si="199"/>
        <v>116606.48009</v>
      </c>
      <c r="M569" s="36">
        <f>M570+M574+M592+M598</f>
        <v>0</v>
      </c>
      <c r="N569" s="94">
        <f>N570+N574+N592+N598</f>
        <v>8227.2800900000002</v>
      </c>
    </row>
    <row r="570" spans="1:15" ht="18" customHeight="1">
      <c r="A570" s="182" t="s">
        <v>65</v>
      </c>
      <c r="B570" s="25" t="s">
        <v>425</v>
      </c>
      <c r="C570" s="25" t="s">
        <v>32</v>
      </c>
      <c r="D570" s="25" t="s">
        <v>21</v>
      </c>
      <c r="E570" s="25"/>
      <c r="F570" s="25"/>
      <c r="G570" s="132"/>
      <c r="H570" s="132">
        <f>H571</f>
        <v>667</v>
      </c>
      <c r="I570" s="132">
        <f t="shared" ref="I570:N572" si="200">I571</f>
        <v>0</v>
      </c>
      <c r="J570" s="488">
        <f>J571</f>
        <v>920.93299999999999</v>
      </c>
      <c r="K570" s="488">
        <f t="shared" si="200"/>
        <v>0</v>
      </c>
      <c r="L570" s="488">
        <f t="shared" si="200"/>
        <v>920.93299999999999</v>
      </c>
      <c r="M570" s="183">
        <f t="shared" si="200"/>
        <v>0</v>
      </c>
      <c r="N570" s="184">
        <f t="shared" si="200"/>
        <v>920.93299999999999</v>
      </c>
    </row>
    <row r="571" spans="1:15" ht="39.75" customHeight="1">
      <c r="A571" s="178" t="s">
        <v>486</v>
      </c>
      <c r="B571" s="26" t="s">
        <v>425</v>
      </c>
      <c r="C571" s="26" t="s">
        <v>32</v>
      </c>
      <c r="D571" s="26" t="s">
        <v>21</v>
      </c>
      <c r="E571" s="26" t="s">
        <v>487</v>
      </c>
      <c r="F571" s="26"/>
      <c r="G571" s="185"/>
      <c r="H571" s="185">
        <f>H572</f>
        <v>667</v>
      </c>
      <c r="I571" s="185">
        <f t="shared" ref="I571:N571" si="201">I572</f>
        <v>0</v>
      </c>
      <c r="J571" s="627">
        <f t="shared" si="201"/>
        <v>920.93299999999999</v>
      </c>
      <c r="K571" s="627">
        <f t="shared" si="201"/>
        <v>0</v>
      </c>
      <c r="L571" s="627">
        <f t="shared" si="201"/>
        <v>920.93299999999999</v>
      </c>
      <c r="M571" s="131">
        <f t="shared" si="201"/>
        <v>0</v>
      </c>
      <c r="N571" s="58">
        <f t="shared" si="201"/>
        <v>920.93299999999999</v>
      </c>
    </row>
    <row r="572" spans="1:15" ht="41.25" customHeight="1">
      <c r="A572" s="178" t="s">
        <v>513</v>
      </c>
      <c r="B572" s="26" t="s">
        <v>425</v>
      </c>
      <c r="C572" s="26" t="s">
        <v>32</v>
      </c>
      <c r="D572" s="26" t="s">
        <v>21</v>
      </c>
      <c r="E572" s="26" t="s">
        <v>469</v>
      </c>
      <c r="F572" s="26"/>
      <c r="G572" s="185"/>
      <c r="H572" s="185">
        <f>H573</f>
        <v>667</v>
      </c>
      <c r="I572" s="185">
        <f t="shared" si="200"/>
        <v>0</v>
      </c>
      <c r="J572" s="627">
        <f t="shared" si="200"/>
        <v>920.93299999999999</v>
      </c>
      <c r="K572" s="627">
        <f t="shared" si="200"/>
        <v>0</v>
      </c>
      <c r="L572" s="627">
        <f t="shared" si="200"/>
        <v>920.93299999999999</v>
      </c>
      <c r="M572" s="131">
        <f t="shared" si="200"/>
        <v>0</v>
      </c>
      <c r="N572" s="58">
        <f t="shared" si="200"/>
        <v>920.93299999999999</v>
      </c>
    </row>
    <row r="573" spans="1:15" ht="18" customHeight="1">
      <c r="A573" s="178" t="s">
        <v>470</v>
      </c>
      <c r="B573" s="26" t="s">
        <v>425</v>
      </c>
      <c r="C573" s="26" t="s">
        <v>32</v>
      </c>
      <c r="D573" s="26" t="s">
        <v>21</v>
      </c>
      <c r="E573" s="26" t="s">
        <v>469</v>
      </c>
      <c r="F573" s="26" t="s">
        <v>471</v>
      </c>
      <c r="G573" s="185"/>
      <c r="H573" s="185">
        <v>667</v>
      </c>
      <c r="I573" s="185"/>
      <c r="J573" s="627">
        <v>920.93299999999999</v>
      </c>
      <c r="K573" s="627"/>
      <c r="L573" s="627">
        <f>J573+K573</f>
        <v>920.93299999999999</v>
      </c>
      <c r="M573" s="99"/>
      <c r="N573" s="30">
        <f>L573+M573</f>
        <v>920.93299999999999</v>
      </c>
      <c r="O573" s="11">
        <v>565</v>
      </c>
    </row>
    <row r="574" spans="1:15">
      <c r="A574" s="24" t="s">
        <v>66</v>
      </c>
      <c r="B574" s="25" t="s">
        <v>425</v>
      </c>
      <c r="C574" s="25" t="s">
        <v>32</v>
      </c>
      <c r="D574" s="25" t="s">
        <v>22</v>
      </c>
      <c r="E574" s="26"/>
      <c r="F574" s="26"/>
      <c r="G574" s="185"/>
      <c r="H574" s="185"/>
      <c r="I574" s="185"/>
      <c r="J574" s="488">
        <f>J575+J582+J589+J580</f>
        <v>83358.995089999997</v>
      </c>
      <c r="K574" s="488">
        <f>K575+K582+K589+K580</f>
        <v>32047.202000000001</v>
      </c>
      <c r="L574" s="488">
        <f>L575+L582+L589+L580</f>
        <v>115406.19709</v>
      </c>
      <c r="M574" s="29">
        <f>M578+M582+M590</f>
        <v>0</v>
      </c>
      <c r="N574" s="30">
        <f>N578+N582+N590</f>
        <v>7267.1970899999997</v>
      </c>
    </row>
    <row r="575" spans="1:15" ht="60">
      <c r="A575" s="116" t="s">
        <v>468</v>
      </c>
      <c r="B575" s="26" t="s">
        <v>425</v>
      </c>
      <c r="C575" s="26" t="s">
        <v>32</v>
      </c>
      <c r="D575" s="26" t="s">
        <v>22</v>
      </c>
      <c r="E575" s="26" t="s">
        <v>487</v>
      </c>
      <c r="F575" s="26"/>
      <c r="G575" s="185"/>
      <c r="H575" s="185"/>
      <c r="I575" s="185"/>
      <c r="J575" s="627">
        <f>J576+J578</f>
        <v>53532.262000000002</v>
      </c>
      <c r="K575" s="627">
        <f>K576+K578</f>
        <v>22000</v>
      </c>
      <c r="L575" s="627">
        <f>L576+L578</f>
        <v>75532.262000000002</v>
      </c>
      <c r="M575" s="29"/>
      <c r="N575" s="30"/>
    </row>
    <row r="576" spans="1:15" ht="60">
      <c r="A576" s="116" t="s">
        <v>468</v>
      </c>
      <c r="B576" s="26" t="s">
        <v>425</v>
      </c>
      <c r="C576" s="26" t="s">
        <v>32</v>
      </c>
      <c r="D576" s="26" t="s">
        <v>22</v>
      </c>
      <c r="E576" s="26" t="s">
        <v>1072</v>
      </c>
      <c r="F576" s="26"/>
      <c r="G576" s="185"/>
      <c r="H576" s="185"/>
      <c r="I576" s="185"/>
      <c r="J576" s="627">
        <f>J577</f>
        <v>50000</v>
      </c>
      <c r="K576" s="627">
        <f>K577</f>
        <v>22000</v>
      </c>
      <c r="L576" s="627">
        <f>L577</f>
        <v>72000</v>
      </c>
      <c r="M576" s="29"/>
      <c r="N576" s="30"/>
    </row>
    <row r="577" spans="1:15">
      <c r="A577" s="116" t="s">
        <v>470</v>
      </c>
      <c r="B577" s="26" t="s">
        <v>425</v>
      </c>
      <c r="C577" s="26" t="s">
        <v>32</v>
      </c>
      <c r="D577" s="26" t="s">
        <v>22</v>
      </c>
      <c r="E577" s="26" t="s">
        <v>1072</v>
      </c>
      <c r="F577" s="26" t="s">
        <v>471</v>
      </c>
      <c r="G577" s="185"/>
      <c r="H577" s="185"/>
      <c r="I577" s="185"/>
      <c r="J577" s="627">
        <v>50000</v>
      </c>
      <c r="K577" s="627">
        <v>22000</v>
      </c>
      <c r="L577" s="627">
        <f>J577+K577</f>
        <v>72000</v>
      </c>
      <c r="M577" s="29"/>
      <c r="N577" s="30"/>
    </row>
    <row r="578" spans="1:15" ht="60">
      <c r="A578" s="116" t="s">
        <v>468</v>
      </c>
      <c r="B578" s="26" t="s">
        <v>425</v>
      </c>
      <c r="C578" s="26" t="s">
        <v>32</v>
      </c>
      <c r="D578" s="26" t="s">
        <v>22</v>
      </c>
      <c r="E578" s="26" t="s">
        <v>469</v>
      </c>
      <c r="F578" s="26"/>
      <c r="G578" s="185"/>
      <c r="H578" s="185"/>
      <c r="I578" s="185"/>
      <c r="J578" s="627">
        <f>J579</f>
        <v>3532.2620000000002</v>
      </c>
      <c r="K578" s="627">
        <f>K579</f>
        <v>0</v>
      </c>
      <c r="L578" s="627">
        <f>L579</f>
        <v>3532.2620000000002</v>
      </c>
      <c r="M578" s="29">
        <f>M579+M580</f>
        <v>0</v>
      </c>
      <c r="N578" s="30">
        <f>N579+N580</f>
        <v>3832.2620000000002</v>
      </c>
    </row>
    <row r="579" spans="1:15" ht="16.5" customHeight="1">
      <c r="A579" s="116" t="s">
        <v>470</v>
      </c>
      <c r="B579" s="26" t="s">
        <v>425</v>
      </c>
      <c r="C579" s="26" t="s">
        <v>32</v>
      </c>
      <c r="D579" s="26" t="s">
        <v>22</v>
      </c>
      <c r="E579" s="26" t="s">
        <v>469</v>
      </c>
      <c r="F579" s="26" t="s">
        <v>471</v>
      </c>
      <c r="G579" s="185"/>
      <c r="H579" s="185"/>
      <c r="I579" s="185"/>
      <c r="J579" s="627">
        <v>3532.2620000000002</v>
      </c>
      <c r="K579" s="627"/>
      <c r="L579" s="627">
        <f>J579+K579</f>
        <v>3532.2620000000002</v>
      </c>
      <c r="M579" s="99"/>
      <c r="N579" s="30">
        <f>L579+M579</f>
        <v>3532.2620000000002</v>
      </c>
      <c r="O579" s="11">
        <v>2905</v>
      </c>
    </row>
    <row r="580" spans="1:15" ht="30" customHeight="1">
      <c r="A580" s="31" t="s">
        <v>145</v>
      </c>
      <c r="B580" s="26" t="s">
        <v>425</v>
      </c>
      <c r="C580" s="26" t="s">
        <v>32</v>
      </c>
      <c r="D580" s="26" t="s">
        <v>22</v>
      </c>
      <c r="E580" s="26" t="s">
        <v>203</v>
      </c>
      <c r="F580" s="26"/>
      <c r="G580" s="185"/>
      <c r="H580" s="185"/>
      <c r="I580" s="185"/>
      <c r="J580" s="627">
        <f>J581</f>
        <v>300</v>
      </c>
      <c r="K580" s="627">
        <f>K581</f>
        <v>0</v>
      </c>
      <c r="L580" s="627">
        <f>L581</f>
        <v>300</v>
      </c>
      <c r="M580" s="99"/>
      <c r="N580" s="30">
        <f>L580+M580</f>
        <v>300</v>
      </c>
    </row>
    <row r="581" spans="1:15" ht="30" customHeight="1">
      <c r="A581" s="31" t="s">
        <v>197</v>
      </c>
      <c r="B581" s="26" t="s">
        <v>425</v>
      </c>
      <c r="C581" s="26" t="s">
        <v>32</v>
      </c>
      <c r="D581" s="26" t="s">
        <v>22</v>
      </c>
      <c r="E581" s="26" t="s">
        <v>203</v>
      </c>
      <c r="F581" s="26" t="s">
        <v>142</v>
      </c>
      <c r="G581" s="185"/>
      <c r="H581" s="185"/>
      <c r="I581" s="185"/>
      <c r="J581" s="627">
        <v>300</v>
      </c>
      <c r="K581" s="627"/>
      <c r="L581" s="627">
        <f>J581+K581</f>
        <v>300</v>
      </c>
      <c r="M581" s="99"/>
      <c r="N581" s="30"/>
    </row>
    <row r="582" spans="1:15" ht="15" customHeight="1">
      <c r="A582" s="116" t="s">
        <v>491</v>
      </c>
      <c r="B582" s="26" t="s">
        <v>425</v>
      </c>
      <c r="C582" s="26" t="s">
        <v>32</v>
      </c>
      <c r="D582" s="26" t="s">
        <v>22</v>
      </c>
      <c r="E582" s="26" t="s">
        <v>492</v>
      </c>
      <c r="F582" s="26"/>
      <c r="G582" s="27">
        <f t="shared" ref="G582:L582" si="202">G583+G587+G585</f>
        <v>158.01599999999999</v>
      </c>
      <c r="H582" s="27">
        <f t="shared" si="202"/>
        <v>2334</v>
      </c>
      <c r="I582" s="27">
        <f t="shared" si="202"/>
        <v>0</v>
      </c>
      <c r="J582" s="627">
        <f t="shared" si="202"/>
        <v>26139</v>
      </c>
      <c r="K582" s="627">
        <f t="shared" si="202"/>
        <v>10000</v>
      </c>
      <c r="L582" s="627">
        <f t="shared" si="202"/>
        <v>36139</v>
      </c>
      <c r="M582" s="28">
        <f>M583</f>
        <v>0</v>
      </c>
      <c r="N582" s="55">
        <f>N583</f>
        <v>0</v>
      </c>
    </row>
    <row r="583" spans="1:15" ht="45">
      <c r="A583" s="110" t="s">
        <v>514</v>
      </c>
      <c r="B583" s="26" t="s">
        <v>425</v>
      </c>
      <c r="C583" s="26" t="s">
        <v>32</v>
      </c>
      <c r="D583" s="26" t="s">
        <v>22</v>
      </c>
      <c r="E583" s="26" t="s">
        <v>495</v>
      </c>
      <c r="F583" s="26"/>
      <c r="G583" s="592">
        <f t="shared" ref="G583:L583" si="203">G584</f>
        <v>52.671999999999997</v>
      </c>
      <c r="H583" s="592">
        <f t="shared" si="203"/>
        <v>778</v>
      </c>
      <c r="I583" s="592">
        <f t="shared" si="203"/>
        <v>0</v>
      </c>
      <c r="J583" s="627">
        <f t="shared" si="203"/>
        <v>0</v>
      </c>
      <c r="K583" s="627">
        <f t="shared" si="203"/>
        <v>0</v>
      </c>
      <c r="L583" s="627">
        <f t="shared" si="203"/>
        <v>0</v>
      </c>
      <c r="M583" s="28">
        <f>M584</f>
        <v>0</v>
      </c>
      <c r="N583" s="55">
        <f>N584</f>
        <v>0</v>
      </c>
    </row>
    <row r="584" spans="1:15">
      <c r="A584" s="110" t="s">
        <v>470</v>
      </c>
      <c r="B584" s="26" t="s">
        <v>425</v>
      </c>
      <c r="C584" s="26" t="s">
        <v>32</v>
      </c>
      <c r="D584" s="26" t="s">
        <v>22</v>
      </c>
      <c r="E584" s="26" t="s">
        <v>495</v>
      </c>
      <c r="F584" s="26" t="s">
        <v>471</v>
      </c>
      <c r="G584" s="592">
        <f>52.672</f>
        <v>52.671999999999997</v>
      </c>
      <c r="H584" s="589">
        <v>778</v>
      </c>
      <c r="I584" s="592"/>
      <c r="J584" s="627">
        <f>4000-4000</f>
        <v>0</v>
      </c>
      <c r="K584" s="627"/>
      <c r="L584" s="627">
        <f>J584+K584</f>
        <v>0</v>
      </c>
      <c r="M584" s="28"/>
      <c r="N584" s="30">
        <f>L584+M584</f>
        <v>0</v>
      </c>
    </row>
    <row r="585" spans="1:15" ht="45">
      <c r="A585" s="110" t="s">
        <v>514</v>
      </c>
      <c r="B585" s="26" t="s">
        <v>425</v>
      </c>
      <c r="C585" s="26" t="s">
        <v>32</v>
      </c>
      <c r="D585" s="26" t="s">
        <v>22</v>
      </c>
      <c r="E585" s="26" t="s">
        <v>494</v>
      </c>
      <c r="F585" s="26"/>
      <c r="G585" s="592">
        <f t="shared" ref="G585:L585" si="204">G586</f>
        <v>52.671999999999997</v>
      </c>
      <c r="H585" s="592">
        <f t="shared" si="204"/>
        <v>778</v>
      </c>
      <c r="I585" s="592">
        <f t="shared" si="204"/>
        <v>0</v>
      </c>
      <c r="J585" s="627">
        <f t="shared" si="204"/>
        <v>4000</v>
      </c>
      <c r="K585" s="627">
        <f t="shared" si="204"/>
        <v>10000</v>
      </c>
      <c r="L585" s="627">
        <f t="shared" si="204"/>
        <v>14000</v>
      </c>
      <c r="M585" s="28"/>
      <c r="N585" s="30"/>
    </row>
    <row r="586" spans="1:15">
      <c r="A586" s="110" t="s">
        <v>470</v>
      </c>
      <c r="B586" s="26" t="s">
        <v>425</v>
      </c>
      <c r="C586" s="26" t="s">
        <v>32</v>
      </c>
      <c r="D586" s="26" t="s">
        <v>22</v>
      </c>
      <c r="E586" s="26" t="s">
        <v>494</v>
      </c>
      <c r="F586" s="26" t="s">
        <v>471</v>
      </c>
      <c r="G586" s="592">
        <f>52.672</f>
        <v>52.671999999999997</v>
      </c>
      <c r="H586" s="589">
        <v>778</v>
      </c>
      <c r="I586" s="592"/>
      <c r="J586" s="627">
        <f>4000</f>
        <v>4000</v>
      </c>
      <c r="K586" s="627">
        <v>10000</v>
      </c>
      <c r="L586" s="627">
        <f>J586+K586</f>
        <v>14000</v>
      </c>
      <c r="M586" s="28"/>
      <c r="N586" s="30"/>
    </row>
    <row r="587" spans="1:15" ht="45">
      <c r="A587" s="110" t="s">
        <v>515</v>
      </c>
      <c r="B587" s="26" t="s">
        <v>425</v>
      </c>
      <c r="C587" s="26" t="s">
        <v>32</v>
      </c>
      <c r="D587" s="26" t="s">
        <v>22</v>
      </c>
      <c r="E587" s="26" t="s">
        <v>516</v>
      </c>
      <c r="F587" s="26"/>
      <c r="G587" s="592">
        <f t="shared" ref="G587:L587" si="205">G588</f>
        <v>52.671999999999997</v>
      </c>
      <c r="H587" s="592">
        <f t="shared" si="205"/>
        <v>778</v>
      </c>
      <c r="I587" s="592">
        <f t="shared" si="205"/>
        <v>0</v>
      </c>
      <c r="J587" s="627">
        <f t="shared" si="205"/>
        <v>22139</v>
      </c>
      <c r="K587" s="627">
        <f t="shared" si="205"/>
        <v>0</v>
      </c>
      <c r="L587" s="627">
        <f t="shared" si="205"/>
        <v>22139</v>
      </c>
      <c r="M587" s="28"/>
      <c r="N587" s="30"/>
    </row>
    <row r="588" spans="1:15">
      <c r="A588" s="110" t="s">
        <v>470</v>
      </c>
      <c r="B588" s="26" t="s">
        <v>425</v>
      </c>
      <c r="C588" s="26" t="s">
        <v>32</v>
      </c>
      <c r="D588" s="26" t="s">
        <v>22</v>
      </c>
      <c r="E588" s="26" t="s">
        <v>516</v>
      </c>
      <c r="F588" s="26" t="s">
        <v>471</v>
      </c>
      <c r="G588" s="592">
        <f>52.672</f>
        <v>52.671999999999997</v>
      </c>
      <c r="H588" s="589">
        <v>778</v>
      </c>
      <c r="I588" s="592"/>
      <c r="J588" s="627">
        <v>22139</v>
      </c>
      <c r="K588" s="627"/>
      <c r="L588" s="627">
        <f>J588+K588</f>
        <v>22139</v>
      </c>
      <c r="M588" s="28"/>
      <c r="N588" s="30"/>
    </row>
    <row r="589" spans="1:15" ht="75">
      <c r="A589" s="31" t="s">
        <v>517</v>
      </c>
      <c r="B589" s="26" t="s">
        <v>425</v>
      </c>
      <c r="C589" s="26" t="s">
        <v>32</v>
      </c>
      <c r="D589" s="26" t="s">
        <v>22</v>
      </c>
      <c r="E589" s="26" t="s">
        <v>214</v>
      </c>
      <c r="F589" s="26"/>
      <c r="G589" s="592"/>
      <c r="H589" s="589"/>
      <c r="I589" s="592"/>
      <c r="J589" s="627">
        <f>J590</f>
        <v>3387.7330900000002</v>
      </c>
      <c r="K589" s="627">
        <f>K590</f>
        <v>47.201999999999998</v>
      </c>
      <c r="L589" s="627">
        <f>L590</f>
        <v>3434.9350899999999</v>
      </c>
      <c r="M589" s="28"/>
      <c r="N589" s="30"/>
    </row>
    <row r="590" spans="1:15" ht="28.5" customHeight="1">
      <c r="A590" s="31" t="s">
        <v>145</v>
      </c>
      <c r="B590" s="26" t="s">
        <v>425</v>
      </c>
      <c r="C590" s="26" t="s">
        <v>32</v>
      </c>
      <c r="D590" s="26" t="s">
        <v>22</v>
      </c>
      <c r="E590" s="26" t="s">
        <v>215</v>
      </c>
      <c r="F590" s="26"/>
      <c r="G590" s="147">
        <f t="shared" ref="G590:N590" si="206">G591</f>
        <v>200</v>
      </c>
      <c r="H590" s="147">
        <f t="shared" si="206"/>
        <v>0</v>
      </c>
      <c r="I590" s="147">
        <f t="shared" si="206"/>
        <v>0</v>
      </c>
      <c r="J590" s="627">
        <f t="shared" si="206"/>
        <v>3387.7330900000002</v>
      </c>
      <c r="K590" s="627">
        <f t="shared" si="206"/>
        <v>47.201999999999998</v>
      </c>
      <c r="L590" s="627">
        <f t="shared" si="206"/>
        <v>3434.9350899999999</v>
      </c>
      <c r="M590" s="42">
        <f t="shared" si="206"/>
        <v>0</v>
      </c>
      <c r="N590" s="43">
        <f t="shared" si="206"/>
        <v>3434.9350899999999</v>
      </c>
    </row>
    <row r="591" spans="1:15" ht="18" customHeight="1">
      <c r="A591" s="31" t="s">
        <v>304</v>
      </c>
      <c r="B591" s="26" t="s">
        <v>425</v>
      </c>
      <c r="C591" s="26" t="s">
        <v>32</v>
      </c>
      <c r="D591" s="26" t="s">
        <v>22</v>
      </c>
      <c r="E591" s="26" t="s">
        <v>215</v>
      </c>
      <c r="F591" s="26" t="s">
        <v>305</v>
      </c>
      <c r="G591" s="147">
        <v>200</v>
      </c>
      <c r="H591" s="589"/>
      <c r="I591" s="147"/>
      <c r="J591" s="627">
        <v>3387.7330900000002</v>
      </c>
      <c r="K591" s="627">
        <f>47.202</f>
        <v>47.201999999999998</v>
      </c>
      <c r="L591" s="627">
        <f>J591+K591</f>
        <v>3434.9350899999999</v>
      </c>
      <c r="M591" s="42"/>
      <c r="N591" s="30">
        <f>L591+M591</f>
        <v>3434.9350899999999</v>
      </c>
      <c r="O591" s="32">
        <v>3100.93</v>
      </c>
    </row>
    <row r="592" spans="1:15" s="113" customFormat="1" ht="28.5">
      <c r="A592" s="171" t="s">
        <v>318</v>
      </c>
      <c r="B592" s="25" t="s">
        <v>425</v>
      </c>
      <c r="C592" s="25" t="s">
        <v>32</v>
      </c>
      <c r="D592" s="25" t="s">
        <v>28</v>
      </c>
      <c r="E592" s="25"/>
      <c r="F592" s="25"/>
      <c r="G592" s="207">
        <f t="shared" ref="G592:M592" si="207">G593+G596</f>
        <v>50</v>
      </c>
      <c r="H592" s="207">
        <f t="shared" si="207"/>
        <v>0</v>
      </c>
      <c r="I592" s="207">
        <f t="shared" si="207"/>
        <v>0</v>
      </c>
      <c r="J592" s="488">
        <f>J593+J596</f>
        <v>310.39999999999998</v>
      </c>
      <c r="K592" s="488">
        <f t="shared" si="207"/>
        <v>-286.75</v>
      </c>
      <c r="L592" s="488">
        <f>L593+L596</f>
        <v>23.649999999999977</v>
      </c>
      <c r="M592" s="70">
        <f t="shared" si="207"/>
        <v>0</v>
      </c>
      <c r="N592" s="122">
        <f>N593+N596</f>
        <v>23.649999999999977</v>
      </c>
    </row>
    <row r="593" spans="1:16" ht="30">
      <c r="A593" s="174" t="s">
        <v>128</v>
      </c>
      <c r="B593" s="26" t="s">
        <v>425</v>
      </c>
      <c r="C593" s="26" t="s">
        <v>32</v>
      </c>
      <c r="D593" s="26" t="s">
        <v>28</v>
      </c>
      <c r="E593" s="26" t="s">
        <v>129</v>
      </c>
      <c r="F593" s="26"/>
      <c r="G593" s="147">
        <f t="shared" ref="G593:N594" si="208">G594</f>
        <v>-42.5</v>
      </c>
      <c r="H593" s="147">
        <f t="shared" si="208"/>
        <v>0</v>
      </c>
      <c r="I593" s="147">
        <f t="shared" si="208"/>
        <v>0</v>
      </c>
      <c r="J593" s="627">
        <f t="shared" si="208"/>
        <v>310.39999999999998</v>
      </c>
      <c r="K593" s="627">
        <f t="shared" si="208"/>
        <v>-286.75</v>
      </c>
      <c r="L593" s="627">
        <f t="shared" si="208"/>
        <v>23.649999999999977</v>
      </c>
      <c r="M593" s="42">
        <f t="shared" si="208"/>
        <v>0</v>
      </c>
      <c r="N593" s="43">
        <f t="shared" si="208"/>
        <v>23.649999999999977</v>
      </c>
    </row>
    <row r="594" spans="1:16" ht="30">
      <c r="A594" s="174" t="s">
        <v>130</v>
      </c>
      <c r="B594" s="26" t="s">
        <v>425</v>
      </c>
      <c r="C594" s="26" t="s">
        <v>32</v>
      </c>
      <c r="D594" s="26" t="s">
        <v>28</v>
      </c>
      <c r="E594" s="26" t="s">
        <v>131</v>
      </c>
      <c r="F594" s="26"/>
      <c r="G594" s="147">
        <f t="shared" si="208"/>
        <v>-42.5</v>
      </c>
      <c r="H594" s="147">
        <f t="shared" si="208"/>
        <v>0</v>
      </c>
      <c r="I594" s="147">
        <f t="shared" si="208"/>
        <v>0</v>
      </c>
      <c r="J594" s="627">
        <f t="shared" si="208"/>
        <v>310.39999999999998</v>
      </c>
      <c r="K594" s="627">
        <f t="shared" si="208"/>
        <v>-286.75</v>
      </c>
      <c r="L594" s="627">
        <f t="shared" si="208"/>
        <v>23.649999999999977</v>
      </c>
      <c r="M594" s="42">
        <f t="shared" si="208"/>
        <v>0</v>
      </c>
      <c r="N594" s="43">
        <f t="shared" si="208"/>
        <v>23.649999999999977</v>
      </c>
    </row>
    <row r="595" spans="1:16" ht="30">
      <c r="A595" s="174" t="s">
        <v>518</v>
      </c>
      <c r="B595" s="26" t="s">
        <v>425</v>
      </c>
      <c r="C595" s="26" t="s">
        <v>32</v>
      </c>
      <c r="D595" s="26" t="s">
        <v>28</v>
      </c>
      <c r="E595" s="26" t="s">
        <v>131</v>
      </c>
      <c r="F595" s="26" t="s">
        <v>133</v>
      </c>
      <c r="G595" s="147">
        <v>-42.5</v>
      </c>
      <c r="H595" s="589"/>
      <c r="I595" s="147"/>
      <c r="J595" s="627">
        <f>426-115.6</f>
        <v>310.39999999999998</v>
      </c>
      <c r="K595" s="627">
        <f>-30.85-31.2-224.7</f>
        <v>-286.75</v>
      </c>
      <c r="L595" s="627">
        <f>J595+K595</f>
        <v>23.649999999999977</v>
      </c>
      <c r="M595" s="42"/>
      <c r="N595" s="30">
        <f>L595+M595</f>
        <v>23.649999999999977</v>
      </c>
      <c r="O595" s="44">
        <v>317.2</v>
      </c>
      <c r="P595" s="45">
        <f>L595-O595</f>
        <v>-293.55</v>
      </c>
    </row>
    <row r="596" spans="1:16" ht="30" hidden="1">
      <c r="A596" s="31" t="s">
        <v>130</v>
      </c>
      <c r="B596" s="26" t="s">
        <v>425</v>
      </c>
      <c r="C596" s="26" t="s">
        <v>32</v>
      </c>
      <c r="D596" s="26" t="s">
        <v>28</v>
      </c>
      <c r="E596" s="26" t="s">
        <v>134</v>
      </c>
      <c r="F596" s="26"/>
      <c r="G596" s="589">
        <f t="shared" ref="G596:N596" si="209">G597</f>
        <v>92.5</v>
      </c>
      <c r="H596" s="589">
        <f t="shared" si="209"/>
        <v>0</v>
      </c>
      <c r="I596" s="589">
        <f t="shared" si="209"/>
        <v>0</v>
      </c>
      <c r="J596" s="627">
        <f t="shared" si="209"/>
        <v>0</v>
      </c>
      <c r="K596" s="627">
        <f t="shared" si="209"/>
        <v>0</v>
      </c>
      <c r="L596" s="627">
        <f t="shared" si="209"/>
        <v>0</v>
      </c>
      <c r="M596" s="29">
        <f t="shared" si="209"/>
        <v>0</v>
      </c>
      <c r="N596" s="30">
        <f t="shared" si="209"/>
        <v>0</v>
      </c>
    </row>
    <row r="597" spans="1:16" ht="30" hidden="1">
      <c r="A597" s="31" t="s">
        <v>135</v>
      </c>
      <c r="B597" s="26" t="s">
        <v>425</v>
      </c>
      <c r="C597" s="26" t="s">
        <v>32</v>
      </c>
      <c r="D597" s="26" t="s">
        <v>28</v>
      </c>
      <c r="E597" s="26" t="s">
        <v>134</v>
      </c>
      <c r="F597" s="26" t="s">
        <v>133</v>
      </c>
      <c r="G597" s="589">
        <f>42.5+50</f>
        <v>92.5</v>
      </c>
      <c r="H597" s="589"/>
      <c r="I597" s="589"/>
      <c r="J597" s="627"/>
      <c r="K597" s="627"/>
      <c r="L597" s="627">
        <f>J597+K597</f>
        <v>0</v>
      </c>
      <c r="M597" s="29"/>
      <c r="N597" s="30">
        <f>L597+M597</f>
        <v>0</v>
      </c>
    </row>
    <row r="598" spans="1:16" s="113" customFormat="1" ht="30">
      <c r="A598" s="116" t="s">
        <v>68</v>
      </c>
      <c r="B598" s="25" t="s">
        <v>425</v>
      </c>
      <c r="C598" s="25" t="s">
        <v>32</v>
      </c>
      <c r="D598" s="25" t="s">
        <v>32</v>
      </c>
      <c r="E598" s="25"/>
      <c r="F598" s="25"/>
      <c r="G598" s="565">
        <f t="shared" ref="G598:N599" si="210">G599</f>
        <v>0</v>
      </c>
      <c r="H598" s="565">
        <f t="shared" si="210"/>
        <v>15.72</v>
      </c>
      <c r="I598" s="565">
        <f t="shared" si="210"/>
        <v>0</v>
      </c>
      <c r="J598" s="488">
        <f t="shared" si="210"/>
        <v>15.5</v>
      </c>
      <c r="K598" s="488">
        <f t="shared" si="210"/>
        <v>0</v>
      </c>
      <c r="L598" s="488">
        <f t="shared" si="210"/>
        <v>15.5</v>
      </c>
      <c r="M598" s="95">
        <f t="shared" si="210"/>
        <v>0</v>
      </c>
      <c r="N598" s="96">
        <f t="shared" si="210"/>
        <v>15.5</v>
      </c>
    </row>
    <row r="599" spans="1:16" ht="45">
      <c r="A599" s="116" t="s">
        <v>1158</v>
      </c>
      <c r="B599" s="26" t="s">
        <v>425</v>
      </c>
      <c r="C599" s="26" t="s">
        <v>32</v>
      </c>
      <c r="D599" s="26" t="s">
        <v>32</v>
      </c>
      <c r="E599" s="26" t="s">
        <v>1141</v>
      </c>
      <c r="F599" s="26"/>
      <c r="G599" s="147">
        <f t="shared" si="210"/>
        <v>0</v>
      </c>
      <c r="H599" s="147">
        <f t="shared" si="210"/>
        <v>15.72</v>
      </c>
      <c r="I599" s="147">
        <f t="shared" si="210"/>
        <v>0</v>
      </c>
      <c r="J599" s="627">
        <f t="shared" si="210"/>
        <v>15.5</v>
      </c>
      <c r="K599" s="627">
        <f t="shared" si="210"/>
        <v>0</v>
      </c>
      <c r="L599" s="627">
        <f t="shared" si="210"/>
        <v>15.5</v>
      </c>
      <c r="M599" s="42">
        <f t="shared" si="210"/>
        <v>0</v>
      </c>
      <c r="N599" s="43">
        <f t="shared" si="210"/>
        <v>15.5</v>
      </c>
    </row>
    <row r="600" spans="1:16" ht="30">
      <c r="A600" s="116" t="s">
        <v>135</v>
      </c>
      <c r="B600" s="26" t="s">
        <v>425</v>
      </c>
      <c r="C600" s="26" t="s">
        <v>32</v>
      </c>
      <c r="D600" s="26" t="s">
        <v>32</v>
      </c>
      <c r="E600" s="26" t="s">
        <v>1141</v>
      </c>
      <c r="F600" s="26" t="s">
        <v>133</v>
      </c>
      <c r="G600" s="147"/>
      <c r="H600" s="147">
        <v>15.72</v>
      </c>
      <c r="I600" s="147"/>
      <c r="J600" s="627">
        <v>15.5</v>
      </c>
      <c r="K600" s="627"/>
      <c r="L600" s="627">
        <f>J600+K600</f>
        <v>15.5</v>
      </c>
      <c r="M600" s="42"/>
      <c r="N600" s="30">
        <f>L600+M600</f>
        <v>15.5</v>
      </c>
    </row>
    <row r="601" spans="1:16" ht="29.25">
      <c r="A601" s="24" t="s">
        <v>69</v>
      </c>
      <c r="B601" s="25" t="s">
        <v>186</v>
      </c>
      <c r="C601" s="25" t="s">
        <v>32</v>
      </c>
      <c r="D601" s="25" t="s">
        <v>47</v>
      </c>
      <c r="E601" s="26"/>
      <c r="F601" s="26"/>
      <c r="G601" s="147"/>
      <c r="H601" s="147"/>
      <c r="I601" s="147"/>
      <c r="J601" s="627">
        <f>J602</f>
        <v>0</v>
      </c>
      <c r="K601" s="627">
        <f t="shared" ref="K601:L602" si="211">K602</f>
        <v>240.2</v>
      </c>
      <c r="L601" s="627">
        <f t="shared" si="211"/>
        <v>240.2</v>
      </c>
      <c r="M601" s="42"/>
      <c r="N601" s="30"/>
    </row>
    <row r="602" spans="1:16" ht="45">
      <c r="A602" s="31" t="s">
        <v>1205</v>
      </c>
      <c r="B602" s="26" t="s">
        <v>186</v>
      </c>
      <c r="C602" s="26" t="s">
        <v>32</v>
      </c>
      <c r="D602" s="26" t="s">
        <v>47</v>
      </c>
      <c r="E602" s="26" t="s">
        <v>176</v>
      </c>
      <c r="F602" s="26"/>
      <c r="G602" s="147"/>
      <c r="H602" s="147"/>
      <c r="I602" s="147"/>
      <c r="J602" s="627">
        <f>J603</f>
        <v>0</v>
      </c>
      <c r="K602" s="627">
        <f t="shared" si="211"/>
        <v>240.2</v>
      </c>
      <c r="L602" s="627">
        <f t="shared" si="211"/>
        <v>240.2</v>
      </c>
      <c r="M602" s="42"/>
      <c r="N602" s="30"/>
    </row>
    <row r="603" spans="1:16" ht="30">
      <c r="A603" s="174" t="s">
        <v>518</v>
      </c>
      <c r="B603" s="26" t="s">
        <v>186</v>
      </c>
      <c r="C603" s="26" t="s">
        <v>32</v>
      </c>
      <c r="D603" s="26" t="s">
        <v>47</v>
      </c>
      <c r="E603" s="26" t="s">
        <v>176</v>
      </c>
      <c r="F603" s="26" t="s">
        <v>142</v>
      </c>
      <c r="G603" s="147"/>
      <c r="H603" s="147"/>
      <c r="I603" s="147"/>
      <c r="J603" s="627"/>
      <c r="K603" s="627">
        <v>240.2</v>
      </c>
      <c r="L603" s="627">
        <f>J603+K603</f>
        <v>240.2</v>
      </c>
      <c r="M603" s="42"/>
      <c r="N603" s="30"/>
    </row>
    <row r="604" spans="1:16" s="161" customFormat="1" ht="28.5">
      <c r="A604" s="176" t="s">
        <v>521</v>
      </c>
      <c r="B604" s="34" t="s">
        <v>425</v>
      </c>
      <c r="C604" s="34" t="s">
        <v>53</v>
      </c>
      <c r="D604" s="34"/>
      <c r="E604" s="34"/>
      <c r="F604" s="34"/>
      <c r="G604" s="585">
        <f>G611+G619</f>
        <v>50</v>
      </c>
      <c r="H604" s="585">
        <f>H611+H619</f>
        <v>710</v>
      </c>
      <c r="I604" s="585">
        <f>I611+I619</f>
        <v>0</v>
      </c>
      <c r="J604" s="379">
        <f>J611+J619+J605+J615</f>
        <v>129.74</v>
      </c>
      <c r="K604" s="379">
        <f>K611+K619+K605+K615</f>
        <v>47</v>
      </c>
      <c r="L604" s="379">
        <f>L611+L619+L605+L615</f>
        <v>176.74</v>
      </c>
      <c r="M604" s="40">
        <f>M611+M619+M605</f>
        <v>-102</v>
      </c>
      <c r="N604" s="41">
        <f>N611+N619+N605</f>
        <v>-102</v>
      </c>
    </row>
    <row r="605" spans="1:16" s="161" customFormat="1" hidden="1">
      <c r="A605" s="110" t="s">
        <v>72</v>
      </c>
      <c r="B605" s="25" t="s">
        <v>425</v>
      </c>
      <c r="C605" s="25" t="s">
        <v>53</v>
      </c>
      <c r="D605" s="25" t="s">
        <v>21</v>
      </c>
      <c r="E605" s="34"/>
      <c r="F605" s="34"/>
      <c r="G605" s="585"/>
      <c r="H605" s="585"/>
      <c r="I605" s="585"/>
      <c r="J605" s="488">
        <f>J606+J609</f>
        <v>0</v>
      </c>
      <c r="K605" s="488">
        <f>K606+K609</f>
        <v>0</v>
      </c>
      <c r="L605" s="488">
        <f>L606+L609</f>
        <v>0</v>
      </c>
      <c r="M605" s="95">
        <f>M606</f>
        <v>0</v>
      </c>
      <c r="N605" s="96">
        <f>N606</f>
        <v>0</v>
      </c>
    </row>
    <row r="606" spans="1:16" s="161" customFormat="1" ht="60" hidden="1">
      <c r="A606" s="110" t="s">
        <v>468</v>
      </c>
      <c r="B606" s="26" t="s">
        <v>425</v>
      </c>
      <c r="C606" s="26" t="s">
        <v>53</v>
      </c>
      <c r="D606" s="26" t="s">
        <v>21</v>
      </c>
      <c r="E606" s="26" t="s">
        <v>488</v>
      </c>
      <c r="F606" s="26"/>
      <c r="G606" s="614"/>
      <c r="H606" s="614"/>
      <c r="I606" s="614"/>
      <c r="J606" s="627">
        <f>J607+J608</f>
        <v>0</v>
      </c>
      <c r="K606" s="627">
        <f>K607+K608</f>
        <v>0</v>
      </c>
      <c r="L606" s="627">
        <f>L607+L608</f>
        <v>0</v>
      </c>
      <c r="M606" s="42">
        <f>M607+M608</f>
        <v>0</v>
      </c>
      <c r="N606" s="43">
        <f>N607+N608</f>
        <v>0</v>
      </c>
    </row>
    <row r="607" spans="1:16" s="161" customFormat="1" hidden="1">
      <c r="A607" s="110" t="s">
        <v>470</v>
      </c>
      <c r="B607" s="26" t="s">
        <v>425</v>
      </c>
      <c r="C607" s="26" t="s">
        <v>53</v>
      </c>
      <c r="D607" s="26" t="s">
        <v>21</v>
      </c>
      <c r="E607" s="26" t="s">
        <v>483</v>
      </c>
      <c r="F607" s="26" t="s">
        <v>471</v>
      </c>
      <c r="G607" s="614"/>
      <c r="H607" s="614"/>
      <c r="I607" s="614"/>
      <c r="J607" s="634"/>
      <c r="K607" s="634"/>
      <c r="L607" s="627">
        <f>J607+K607</f>
        <v>0</v>
      </c>
      <c r="M607" s="186"/>
      <c r="N607" s="187">
        <f>L607+M607</f>
        <v>0</v>
      </c>
    </row>
    <row r="608" spans="1:16" s="161" customFormat="1" ht="30" hidden="1">
      <c r="A608" s="110" t="s">
        <v>482</v>
      </c>
      <c r="B608" s="26" t="s">
        <v>425</v>
      </c>
      <c r="C608" s="26" t="s">
        <v>53</v>
      </c>
      <c r="D608" s="26" t="s">
        <v>21</v>
      </c>
      <c r="E608" s="26" t="s">
        <v>469</v>
      </c>
      <c r="F608" s="26" t="s">
        <v>471</v>
      </c>
      <c r="G608" s="614"/>
      <c r="H608" s="614"/>
      <c r="I608" s="614"/>
      <c r="J608" s="634"/>
      <c r="K608" s="627">
        <f>1550-759.14-690.86-100</f>
        <v>0</v>
      </c>
      <c r="L608" s="627">
        <f>J608+K608</f>
        <v>0</v>
      </c>
      <c r="M608" s="186"/>
      <c r="N608" s="187">
        <f>L608+M608</f>
        <v>0</v>
      </c>
      <c r="O608" s="125"/>
    </row>
    <row r="609" spans="1:15" s="161" customFormat="1" ht="30" hidden="1">
      <c r="A609" s="180" t="s">
        <v>522</v>
      </c>
      <c r="B609" s="26" t="s">
        <v>425</v>
      </c>
      <c r="C609" s="26" t="s">
        <v>53</v>
      </c>
      <c r="D609" s="26" t="s">
        <v>21</v>
      </c>
      <c r="E609" s="26" t="s">
        <v>523</v>
      </c>
      <c r="F609" s="26"/>
      <c r="G609" s="614"/>
      <c r="H609" s="614"/>
      <c r="I609" s="614"/>
      <c r="J609" s="627">
        <f>J610</f>
        <v>0</v>
      </c>
      <c r="K609" s="627">
        <f>K610</f>
        <v>0</v>
      </c>
      <c r="L609" s="627">
        <f>L610</f>
        <v>0</v>
      </c>
      <c r="M609" s="186"/>
      <c r="N609" s="187"/>
    </row>
    <row r="610" spans="1:15" s="161" customFormat="1" hidden="1">
      <c r="A610" s="116" t="s">
        <v>470</v>
      </c>
      <c r="B610" s="26" t="s">
        <v>425</v>
      </c>
      <c r="C610" s="26" t="s">
        <v>53</v>
      </c>
      <c r="D610" s="26" t="s">
        <v>21</v>
      </c>
      <c r="E610" s="26" t="s">
        <v>495</v>
      </c>
      <c r="F610" s="26" t="s">
        <v>471</v>
      </c>
      <c r="G610" s="614"/>
      <c r="H610" s="614"/>
      <c r="I610" s="614"/>
      <c r="J610" s="627"/>
      <c r="K610" s="627"/>
      <c r="L610" s="627">
        <f>J610+K610</f>
        <v>0</v>
      </c>
      <c r="M610" s="186"/>
      <c r="N610" s="187"/>
      <c r="O610" s="161">
        <v>8000</v>
      </c>
    </row>
    <row r="611" spans="1:15" s="113" customFormat="1" ht="27.75" hidden="1" customHeight="1">
      <c r="A611" s="109" t="s">
        <v>73</v>
      </c>
      <c r="B611" s="25" t="s">
        <v>425</v>
      </c>
      <c r="C611" s="25" t="s">
        <v>53</v>
      </c>
      <c r="D611" s="25" t="s">
        <v>26</v>
      </c>
      <c r="E611" s="25"/>
      <c r="F611" s="25"/>
      <c r="G611" s="565">
        <f t="shared" ref="G611:N613" si="212">G612</f>
        <v>0</v>
      </c>
      <c r="H611" s="565">
        <f t="shared" si="212"/>
        <v>666</v>
      </c>
      <c r="I611" s="565">
        <f t="shared" si="212"/>
        <v>0</v>
      </c>
      <c r="J611" s="488">
        <f>J612</f>
        <v>0</v>
      </c>
      <c r="K611" s="488">
        <f t="shared" si="212"/>
        <v>0</v>
      </c>
      <c r="L611" s="488">
        <f t="shared" si="212"/>
        <v>0</v>
      </c>
      <c r="M611" s="42">
        <f t="shared" si="212"/>
        <v>20</v>
      </c>
      <c r="N611" s="43">
        <f t="shared" si="212"/>
        <v>20</v>
      </c>
    </row>
    <row r="612" spans="1:15" ht="60" hidden="1">
      <c r="A612" s="110" t="s">
        <v>524</v>
      </c>
      <c r="B612" s="26" t="s">
        <v>425</v>
      </c>
      <c r="C612" s="26" t="s">
        <v>53</v>
      </c>
      <c r="D612" s="26" t="s">
        <v>26</v>
      </c>
      <c r="E612" s="26" t="s">
        <v>525</v>
      </c>
      <c r="F612" s="26"/>
      <c r="G612" s="147">
        <f t="shared" si="212"/>
        <v>0</v>
      </c>
      <c r="H612" s="147">
        <f t="shared" si="212"/>
        <v>666</v>
      </c>
      <c r="I612" s="147">
        <f t="shared" si="212"/>
        <v>0</v>
      </c>
      <c r="J612" s="627">
        <f>J613</f>
        <v>0</v>
      </c>
      <c r="K612" s="627">
        <f t="shared" si="212"/>
        <v>0</v>
      </c>
      <c r="L612" s="627">
        <f t="shared" si="212"/>
        <v>0</v>
      </c>
      <c r="M612" s="42">
        <f t="shared" si="212"/>
        <v>20</v>
      </c>
      <c r="N612" s="43">
        <f t="shared" si="212"/>
        <v>20</v>
      </c>
    </row>
    <row r="613" spans="1:15" ht="45" hidden="1">
      <c r="A613" s="116" t="s">
        <v>526</v>
      </c>
      <c r="B613" s="26" t="s">
        <v>425</v>
      </c>
      <c r="C613" s="26" t="s">
        <v>53</v>
      </c>
      <c r="D613" s="26" t="s">
        <v>26</v>
      </c>
      <c r="E613" s="26" t="s">
        <v>527</v>
      </c>
      <c r="F613" s="26"/>
      <c r="G613" s="147">
        <f t="shared" si="212"/>
        <v>0</v>
      </c>
      <c r="H613" s="147">
        <f t="shared" si="212"/>
        <v>666</v>
      </c>
      <c r="I613" s="147">
        <f t="shared" si="212"/>
        <v>0</v>
      </c>
      <c r="J613" s="627">
        <f>J614</f>
        <v>0</v>
      </c>
      <c r="K613" s="627">
        <f t="shared" si="212"/>
        <v>0</v>
      </c>
      <c r="L613" s="627">
        <f t="shared" si="212"/>
        <v>0</v>
      </c>
      <c r="M613" s="42">
        <f t="shared" si="212"/>
        <v>20</v>
      </c>
      <c r="N613" s="43">
        <f t="shared" si="212"/>
        <v>20</v>
      </c>
    </row>
    <row r="614" spans="1:15" hidden="1">
      <c r="A614" s="116" t="s">
        <v>304</v>
      </c>
      <c r="B614" s="26" t="s">
        <v>425</v>
      </c>
      <c r="C614" s="26" t="s">
        <v>53</v>
      </c>
      <c r="D614" s="26" t="s">
        <v>26</v>
      </c>
      <c r="E614" s="26" t="s">
        <v>527</v>
      </c>
      <c r="F614" s="26" t="s">
        <v>305</v>
      </c>
      <c r="G614" s="147"/>
      <c r="H614" s="147">
        <v>666</v>
      </c>
      <c r="I614" s="147"/>
      <c r="J614" s="627"/>
      <c r="K614" s="627"/>
      <c r="L614" s="627">
        <f>J614+K614</f>
        <v>0</v>
      </c>
      <c r="M614" s="42">
        <v>20</v>
      </c>
      <c r="N614" s="30">
        <f>L614+M614</f>
        <v>20</v>
      </c>
      <c r="O614" s="44"/>
    </row>
    <row r="615" spans="1:15" ht="29.25">
      <c r="A615" s="109" t="s">
        <v>528</v>
      </c>
      <c r="B615" s="25" t="s">
        <v>425</v>
      </c>
      <c r="C615" s="25" t="s">
        <v>53</v>
      </c>
      <c r="D615" s="25" t="s">
        <v>26</v>
      </c>
      <c r="E615" s="25"/>
      <c r="F615" s="25"/>
      <c r="G615" s="565">
        <f t="shared" ref="G615:L617" si="213">G616</f>
        <v>50</v>
      </c>
      <c r="H615" s="565">
        <f t="shared" si="213"/>
        <v>44</v>
      </c>
      <c r="I615" s="565">
        <f t="shared" si="213"/>
        <v>0</v>
      </c>
      <c r="J615" s="488">
        <f>J616</f>
        <v>129.74</v>
      </c>
      <c r="K615" s="488">
        <f t="shared" si="213"/>
        <v>47</v>
      </c>
      <c r="L615" s="488">
        <f t="shared" si="213"/>
        <v>176.74</v>
      </c>
      <c r="M615" s="42"/>
      <c r="N615" s="30"/>
      <c r="O615" s="44"/>
    </row>
    <row r="616" spans="1:15" ht="45">
      <c r="A616" s="110" t="s">
        <v>529</v>
      </c>
      <c r="B616" s="26" t="s">
        <v>425</v>
      </c>
      <c r="C616" s="26" t="s">
        <v>53</v>
      </c>
      <c r="D616" s="26" t="s">
        <v>26</v>
      </c>
      <c r="E616" s="26" t="s">
        <v>175</v>
      </c>
      <c r="F616" s="26"/>
      <c r="G616" s="147">
        <f t="shared" si="213"/>
        <v>50</v>
      </c>
      <c r="H616" s="147">
        <f t="shared" si="213"/>
        <v>44</v>
      </c>
      <c r="I616" s="147">
        <f t="shared" si="213"/>
        <v>0</v>
      </c>
      <c r="J616" s="627">
        <f t="shared" si="213"/>
        <v>129.74</v>
      </c>
      <c r="K616" s="627">
        <f t="shared" si="213"/>
        <v>47</v>
      </c>
      <c r="L616" s="627">
        <f t="shared" si="213"/>
        <v>176.74</v>
      </c>
      <c r="M616" s="42"/>
      <c r="N616" s="30"/>
      <c r="O616" s="44"/>
    </row>
    <row r="617" spans="1:15" ht="30">
      <c r="A617" s="110" t="s">
        <v>145</v>
      </c>
      <c r="B617" s="26" t="s">
        <v>425</v>
      </c>
      <c r="C617" s="26" t="s">
        <v>53</v>
      </c>
      <c r="D617" s="26" t="s">
        <v>26</v>
      </c>
      <c r="E617" s="26" t="s">
        <v>176</v>
      </c>
      <c r="F617" s="26"/>
      <c r="G617" s="147">
        <f t="shared" si="213"/>
        <v>50</v>
      </c>
      <c r="H617" s="147">
        <f t="shared" si="213"/>
        <v>44</v>
      </c>
      <c r="I617" s="147">
        <f t="shared" si="213"/>
        <v>0</v>
      </c>
      <c r="J617" s="627">
        <f t="shared" si="213"/>
        <v>129.74</v>
      </c>
      <c r="K617" s="627">
        <f t="shared" si="213"/>
        <v>47</v>
      </c>
      <c r="L617" s="627">
        <f t="shared" si="213"/>
        <v>176.74</v>
      </c>
      <c r="M617" s="42"/>
      <c r="N617" s="30"/>
      <c r="O617" s="44"/>
    </row>
    <row r="618" spans="1:15" ht="30">
      <c r="A618" s="110" t="s">
        <v>141</v>
      </c>
      <c r="B618" s="26" t="s">
        <v>425</v>
      </c>
      <c r="C618" s="26" t="s">
        <v>53</v>
      </c>
      <c r="D618" s="26" t="s">
        <v>26</v>
      </c>
      <c r="E618" s="26" t="s">
        <v>176</v>
      </c>
      <c r="F618" s="26" t="s">
        <v>142</v>
      </c>
      <c r="G618" s="147">
        <v>50</v>
      </c>
      <c r="H618" s="147">
        <v>44</v>
      </c>
      <c r="I618" s="147"/>
      <c r="J618" s="627">
        <v>129.74</v>
      </c>
      <c r="K618" s="627">
        <v>47</v>
      </c>
      <c r="L618" s="627">
        <f>J618+K618</f>
        <v>176.74</v>
      </c>
      <c r="M618" s="42"/>
      <c r="N618" s="30"/>
      <c r="O618" s="44"/>
    </row>
    <row r="619" spans="1:15" s="113" customFormat="1" ht="42.75" hidden="1">
      <c r="A619" s="109" t="s">
        <v>530</v>
      </c>
      <c r="B619" s="25" t="s">
        <v>425</v>
      </c>
      <c r="C619" s="25" t="s">
        <v>53</v>
      </c>
      <c r="D619" s="25" t="s">
        <v>30</v>
      </c>
      <c r="E619" s="25"/>
      <c r="F619" s="25"/>
      <c r="G619" s="565">
        <f t="shared" ref="G619:N621" si="214">G620</f>
        <v>50</v>
      </c>
      <c r="H619" s="565">
        <f t="shared" si="214"/>
        <v>44</v>
      </c>
      <c r="I619" s="565">
        <f t="shared" si="214"/>
        <v>0</v>
      </c>
      <c r="J619" s="488">
        <f t="shared" si="214"/>
        <v>0</v>
      </c>
      <c r="K619" s="488">
        <f t="shared" si="214"/>
        <v>0</v>
      </c>
      <c r="L619" s="488">
        <f t="shared" si="214"/>
        <v>0</v>
      </c>
      <c r="M619" s="95">
        <f t="shared" si="214"/>
        <v>-122</v>
      </c>
      <c r="N619" s="96">
        <f t="shared" si="214"/>
        <v>-122</v>
      </c>
    </row>
    <row r="620" spans="1:15" ht="45" hidden="1">
      <c r="A620" s="110" t="s">
        <v>529</v>
      </c>
      <c r="B620" s="26" t="s">
        <v>425</v>
      </c>
      <c r="C620" s="26" t="s">
        <v>53</v>
      </c>
      <c r="D620" s="26" t="s">
        <v>30</v>
      </c>
      <c r="E620" s="26" t="s">
        <v>175</v>
      </c>
      <c r="F620" s="26"/>
      <c r="G620" s="147">
        <f t="shared" si="214"/>
        <v>50</v>
      </c>
      <c r="H620" s="147">
        <f t="shared" si="214"/>
        <v>44</v>
      </c>
      <c r="I620" s="147">
        <f t="shared" si="214"/>
        <v>0</v>
      </c>
      <c r="J620" s="627">
        <f t="shared" si="214"/>
        <v>0</v>
      </c>
      <c r="K620" s="627">
        <f t="shared" si="214"/>
        <v>0</v>
      </c>
      <c r="L620" s="627">
        <f t="shared" si="214"/>
        <v>0</v>
      </c>
      <c r="M620" s="42">
        <f t="shared" si="214"/>
        <v>-122</v>
      </c>
      <c r="N620" s="43">
        <f t="shared" si="214"/>
        <v>-122</v>
      </c>
    </row>
    <row r="621" spans="1:15" ht="30" hidden="1">
      <c r="A621" s="110" t="s">
        <v>145</v>
      </c>
      <c r="B621" s="26" t="s">
        <v>425</v>
      </c>
      <c r="C621" s="26" t="s">
        <v>53</v>
      </c>
      <c r="D621" s="26" t="s">
        <v>30</v>
      </c>
      <c r="E621" s="26" t="s">
        <v>176</v>
      </c>
      <c r="F621" s="26"/>
      <c r="G621" s="147">
        <f t="shared" si="214"/>
        <v>50</v>
      </c>
      <c r="H621" s="147">
        <f t="shared" si="214"/>
        <v>44</v>
      </c>
      <c r="I621" s="147">
        <f t="shared" si="214"/>
        <v>0</v>
      </c>
      <c r="J621" s="627">
        <f t="shared" si="214"/>
        <v>0</v>
      </c>
      <c r="K621" s="627">
        <f t="shared" si="214"/>
        <v>0</v>
      </c>
      <c r="L621" s="627">
        <f t="shared" si="214"/>
        <v>0</v>
      </c>
      <c r="M621" s="42">
        <f t="shared" si="214"/>
        <v>-122</v>
      </c>
      <c r="N621" s="43">
        <f t="shared" si="214"/>
        <v>-122</v>
      </c>
    </row>
    <row r="622" spans="1:15" ht="30" hidden="1">
      <c r="A622" s="110" t="s">
        <v>141</v>
      </c>
      <c r="B622" s="26" t="s">
        <v>425</v>
      </c>
      <c r="C622" s="26" t="s">
        <v>53</v>
      </c>
      <c r="D622" s="26" t="s">
        <v>30</v>
      </c>
      <c r="E622" s="26" t="s">
        <v>176</v>
      </c>
      <c r="F622" s="26" t="s">
        <v>142</v>
      </c>
      <c r="G622" s="147">
        <v>50</v>
      </c>
      <c r="H622" s="147">
        <v>44</v>
      </c>
      <c r="I622" s="147"/>
      <c r="J622" s="627"/>
      <c r="K622" s="627"/>
      <c r="L622" s="627">
        <f>J622+K622</f>
        <v>0</v>
      </c>
      <c r="M622" s="42">
        <v>-122</v>
      </c>
      <c r="N622" s="30">
        <f>L622+M622</f>
        <v>-122</v>
      </c>
      <c r="O622" s="44"/>
    </row>
    <row r="623" spans="1:15" s="161" customFormat="1" ht="14.25">
      <c r="A623" s="176" t="s">
        <v>531</v>
      </c>
      <c r="B623" s="34" t="s">
        <v>425</v>
      </c>
      <c r="C623" s="34" t="s">
        <v>47</v>
      </c>
      <c r="D623" s="34"/>
      <c r="E623" s="34"/>
      <c r="F623" s="34"/>
      <c r="G623" s="585" t="e">
        <f t="shared" ref="G623:N623" si="215">G624+G631</f>
        <v>#REF!</v>
      </c>
      <c r="H623" s="585" t="e">
        <f t="shared" si="215"/>
        <v>#REF!</v>
      </c>
      <c r="I623" s="585" t="e">
        <f t="shared" si="215"/>
        <v>#REF!</v>
      </c>
      <c r="J623" s="379">
        <f t="shared" si="215"/>
        <v>58410</v>
      </c>
      <c r="K623" s="379">
        <f t="shared" si="215"/>
        <v>0</v>
      </c>
      <c r="L623" s="379">
        <f t="shared" si="215"/>
        <v>58410</v>
      </c>
      <c r="M623" s="40" t="e">
        <f t="shared" si="215"/>
        <v>#REF!</v>
      </c>
      <c r="N623" s="41" t="e">
        <f t="shared" si="215"/>
        <v>#REF!</v>
      </c>
    </row>
    <row r="624" spans="1:15" s="113" customFormat="1" ht="14.25" customHeight="1">
      <c r="A624" s="119" t="s">
        <v>79</v>
      </c>
      <c r="B624" s="25" t="s">
        <v>425</v>
      </c>
      <c r="C624" s="25" t="s">
        <v>47</v>
      </c>
      <c r="D624" s="25" t="s">
        <v>21</v>
      </c>
      <c r="E624" s="25"/>
      <c r="F624" s="25"/>
      <c r="G624" s="565" t="e">
        <f>G627</f>
        <v>#REF!</v>
      </c>
      <c r="H624" s="565" t="e">
        <f>H627</f>
        <v>#REF!</v>
      </c>
      <c r="I624" s="565" t="e">
        <f>I627</f>
        <v>#REF!</v>
      </c>
      <c r="J624" s="488">
        <f t="shared" ref="J624:K624" si="216">J627+J629+J625</f>
        <v>58410</v>
      </c>
      <c r="K624" s="488">
        <f t="shared" si="216"/>
        <v>0</v>
      </c>
      <c r="L624" s="488">
        <f>L627+L629+L625</f>
        <v>58410</v>
      </c>
      <c r="M624" s="95" t="e">
        <f>M627</f>
        <v>#REF!</v>
      </c>
      <c r="N624" s="96" t="e">
        <f>N627</f>
        <v>#REF!</v>
      </c>
    </row>
    <row r="625" spans="1:14" ht="66.75" customHeight="1">
      <c r="A625" s="116" t="s">
        <v>468</v>
      </c>
      <c r="B625" s="26" t="s">
        <v>425</v>
      </c>
      <c r="C625" s="26" t="s">
        <v>47</v>
      </c>
      <c r="D625" s="26" t="s">
        <v>21</v>
      </c>
      <c r="E625" s="26" t="s">
        <v>469</v>
      </c>
      <c r="F625" s="26"/>
      <c r="G625" s="147"/>
      <c r="H625" s="147"/>
      <c r="I625" s="147"/>
      <c r="J625" s="627">
        <f>J626</f>
        <v>10</v>
      </c>
      <c r="K625" s="627">
        <f>K626</f>
        <v>0</v>
      </c>
      <c r="L625" s="627">
        <f>L626</f>
        <v>10</v>
      </c>
      <c r="M625" s="42"/>
      <c r="N625" s="43"/>
    </row>
    <row r="626" spans="1:14" ht="14.25" customHeight="1">
      <c r="A626" s="116" t="s">
        <v>470</v>
      </c>
      <c r="B626" s="26" t="s">
        <v>425</v>
      </c>
      <c r="C626" s="26" t="s">
        <v>47</v>
      </c>
      <c r="D626" s="26" t="s">
        <v>21</v>
      </c>
      <c r="E626" s="26" t="s">
        <v>469</v>
      </c>
      <c r="F626" s="26" t="s">
        <v>471</v>
      </c>
      <c r="G626" s="147"/>
      <c r="H626" s="147"/>
      <c r="I626" s="147"/>
      <c r="J626" s="627">
        <v>10</v>
      </c>
      <c r="K626" s="627"/>
      <c r="L626" s="627">
        <f>J626+K626</f>
        <v>10</v>
      </c>
      <c r="M626" s="42"/>
      <c r="N626" s="43"/>
    </row>
    <row r="627" spans="1:14" ht="45" customHeight="1">
      <c r="A627" s="110" t="s">
        <v>486</v>
      </c>
      <c r="B627" s="26" t="s">
        <v>425</v>
      </c>
      <c r="C627" s="26" t="s">
        <v>47</v>
      </c>
      <c r="D627" s="26" t="s">
        <v>21</v>
      </c>
      <c r="E627" s="26" t="s">
        <v>1137</v>
      </c>
      <c r="F627" s="26"/>
      <c r="G627" s="147" t="e">
        <f>#REF!</f>
        <v>#REF!</v>
      </c>
      <c r="H627" s="147" t="e">
        <f>#REF!</f>
        <v>#REF!</v>
      </c>
      <c r="I627" s="147" t="e">
        <f>#REF!</f>
        <v>#REF!</v>
      </c>
      <c r="J627" s="627">
        <f>J628</f>
        <v>57900</v>
      </c>
      <c r="K627" s="627">
        <f>K628</f>
        <v>0</v>
      </c>
      <c r="L627" s="627">
        <f>L628</f>
        <v>57900</v>
      </c>
      <c r="M627" s="42" t="e">
        <f>#REF!</f>
        <v>#REF!</v>
      </c>
      <c r="N627" s="43" t="e">
        <f>#REF!</f>
        <v>#REF!</v>
      </c>
    </row>
    <row r="628" spans="1:14" ht="15" customHeight="1">
      <c r="A628" s="110" t="s">
        <v>470</v>
      </c>
      <c r="B628" s="26" t="s">
        <v>425</v>
      </c>
      <c r="C628" s="26" t="s">
        <v>47</v>
      </c>
      <c r="D628" s="26" t="s">
        <v>21</v>
      </c>
      <c r="E628" s="26" t="s">
        <v>1137</v>
      </c>
      <c r="F628" s="26" t="s">
        <v>471</v>
      </c>
      <c r="G628" s="147">
        <f>7525+549</f>
        <v>8074</v>
      </c>
      <c r="H628" s="589"/>
      <c r="I628" s="147"/>
      <c r="J628" s="627">
        <v>57900</v>
      </c>
      <c r="K628" s="627"/>
      <c r="L628" s="627">
        <f>J628+K628</f>
        <v>57900</v>
      </c>
      <c r="M628" s="42"/>
      <c r="N628" s="30">
        <f>L628+M628</f>
        <v>57900</v>
      </c>
    </row>
    <row r="629" spans="1:14" ht="51.75" customHeight="1">
      <c r="A629" s="110" t="s">
        <v>1152</v>
      </c>
      <c r="B629" s="26" t="s">
        <v>425</v>
      </c>
      <c r="C629" s="26" t="s">
        <v>47</v>
      </c>
      <c r="D629" s="26" t="s">
        <v>21</v>
      </c>
      <c r="E629" s="26" t="s">
        <v>1138</v>
      </c>
      <c r="F629" s="26"/>
      <c r="G629" s="147"/>
      <c r="H629" s="589"/>
      <c r="I629" s="147"/>
      <c r="J629" s="627">
        <f>J630</f>
        <v>500</v>
      </c>
      <c r="K629" s="627">
        <f>K630</f>
        <v>0</v>
      </c>
      <c r="L629" s="627">
        <f>L630</f>
        <v>500</v>
      </c>
      <c r="M629" s="42"/>
      <c r="N629" s="30"/>
    </row>
    <row r="630" spans="1:14" ht="15" customHeight="1">
      <c r="A630" s="110" t="s">
        <v>470</v>
      </c>
      <c r="B630" s="26" t="s">
        <v>425</v>
      </c>
      <c r="C630" s="26" t="s">
        <v>47</v>
      </c>
      <c r="D630" s="26" t="s">
        <v>21</v>
      </c>
      <c r="E630" s="26" t="s">
        <v>1138</v>
      </c>
      <c r="F630" s="26" t="s">
        <v>471</v>
      </c>
      <c r="G630" s="147"/>
      <c r="H630" s="589"/>
      <c r="I630" s="147"/>
      <c r="J630" s="627">
        <v>500</v>
      </c>
      <c r="K630" s="627"/>
      <c r="L630" s="627">
        <f>J630+K630</f>
        <v>500</v>
      </c>
      <c r="M630" s="42"/>
      <c r="N630" s="30"/>
    </row>
    <row r="631" spans="1:14" s="113" customFormat="1" ht="14.25" hidden="1">
      <c r="A631" s="109" t="s">
        <v>82</v>
      </c>
      <c r="B631" s="25" t="s">
        <v>425</v>
      </c>
      <c r="C631" s="25" t="s">
        <v>47</v>
      </c>
      <c r="D631" s="25" t="s">
        <v>53</v>
      </c>
      <c r="E631" s="25"/>
      <c r="F631" s="25"/>
      <c r="G631" s="565">
        <f t="shared" ref="G631:N633" si="217">G632</f>
        <v>0</v>
      </c>
      <c r="H631" s="565">
        <f t="shared" si="217"/>
        <v>628.79999999999995</v>
      </c>
      <c r="I631" s="565">
        <f t="shared" si="217"/>
        <v>0</v>
      </c>
      <c r="J631" s="488">
        <f t="shared" si="217"/>
        <v>0</v>
      </c>
      <c r="K631" s="488">
        <f t="shared" si="217"/>
        <v>0</v>
      </c>
      <c r="L631" s="488">
        <f t="shared" si="217"/>
        <v>0</v>
      </c>
      <c r="M631" s="95">
        <f t="shared" si="217"/>
        <v>0</v>
      </c>
      <c r="N631" s="96">
        <f t="shared" si="217"/>
        <v>0</v>
      </c>
    </row>
    <row r="632" spans="1:14" ht="30" hidden="1">
      <c r="A632" s="110" t="s">
        <v>532</v>
      </c>
      <c r="B632" s="26" t="s">
        <v>425</v>
      </c>
      <c r="C632" s="26" t="s">
        <v>47</v>
      </c>
      <c r="D632" s="26" t="s">
        <v>53</v>
      </c>
      <c r="E632" s="26" t="s">
        <v>533</v>
      </c>
      <c r="F632" s="26"/>
      <c r="G632" s="147">
        <f t="shared" si="217"/>
        <v>0</v>
      </c>
      <c r="H632" s="147">
        <f t="shared" si="217"/>
        <v>628.79999999999995</v>
      </c>
      <c r="I632" s="147">
        <f t="shared" si="217"/>
        <v>0</v>
      </c>
      <c r="J632" s="627">
        <f t="shared" si="217"/>
        <v>0</v>
      </c>
      <c r="K632" s="627">
        <f t="shared" si="217"/>
        <v>0</v>
      </c>
      <c r="L632" s="627">
        <f t="shared" si="217"/>
        <v>0</v>
      </c>
      <c r="M632" s="42">
        <f t="shared" si="217"/>
        <v>0</v>
      </c>
      <c r="N632" s="43">
        <f t="shared" si="217"/>
        <v>0</v>
      </c>
    </row>
    <row r="633" spans="1:14" ht="45" hidden="1">
      <c r="A633" s="110" t="s">
        <v>534</v>
      </c>
      <c r="B633" s="26" t="s">
        <v>425</v>
      </c>
      <c r="C633" s="26" t="s">
        <v>47</v>
      </c>
      <c r="D633" s="26" t="s">
        <v>53</v>
      </c>
      <c r="E633" s="26" t="s">
        <v>535</v>
      </c>
      <c r="F633" s="26"/>
      <c r="G633" s="147">
        <f t="shared" si="217"/>
        <v>0</v>
      </c>
      <c r="H633" s="147">
        <f t="shared" si="217"/>
        <v>628.79999999999995</v>
      </c>
      <c r="I633" s="147">
        <f t="shared" si="217"/>
        <v>0</v>
      </c>
      <c r="J633" s="627">
        <f t="shared" si="217"/>
        <v>0</v>
      </c>
      <c r="K633" s="627">
        <f t="shared" si="217"/>
        <v>0</v>
      </c>
      <c r="L633" s="627">
        <f t="shared" si="217"/>
        <v>0</v>
      </c>
      <c r="M633" s="42">
        <f t="shared" si="217"/>
        <v>0</v>
      </c>
      <c r="N633" s="43">
        <f t="shared" si="217"/>
        <v>0</v>
      </c>
    </row>
    <row r="634" spans="1:14" ht="30" hidden="1">
      <c r="A634" s="116" t="s">
        <v>135</v>
      </c>
      <c r="B634" s="26" t="s">
        <v>425</v>
      </c>
      <c r="C634" s="26" t="s">
        <v>47</v>
      </c>
      <c r="D634" s="26" t="s">
        <v>53</v>
      </c>
      <c r="E634" s="26" t="s">
        <v>535</v>
      </c>
      <c r="F634" s="26" t="s">
        <v>133</v>
      </c>
      <c r="G634" s="147"/>
      <c r="H634" s="589">
        <v>628.79999999999995</v>
      </c>
      <c r="I634" s="147"/>
      <c r="J634" s="627"/>
      <c r="K634" s="627"/>
      <c r="L634" s="627">
        <f>J634+K634</f>
        <v>0</v>
      </c>
      <c r="M634" s="42"/>
      <c r="N634" s="30">
        <f>L634+M634</f>
        <v>0</v>
      </c>
    </row>
    <row r="635" spans="1:14" s="161" customFormat="1" ht="14.25">
      <c r="A635" s="176" t="s">
        <v>86</v>
      </c>
      <c r="B635" s="34" t="s">
        <v>425</v>
      </c>
      <c r="C635" s="34" t="s">
        <v>85</v>
      </c>
      <c r="D635" s="34"/>
      <c r="E635" s="34"/>
      <c r="F635" s="34"/>
      <c r="G635" s="585">
        <f>G639</f>
        <v>-7703.9000000000005</v>
      </c>
      <c r="H635" s="585">
        <f>H639</f>
        <v>110</v>
      </c>
      <c r="I635" s="585">
        <f>I639</f>
        <v>0</v>
      </c>
      <c r="J635" s="379">
        <f>J639+J636</f>
        <v>4485.6419999999998</v>
      </c>
      <c r="K635" s="379">
        <f>K639+K636</f>
        <v>753.57299999999998</v>
      </c>
      <c r="L635" s="379">
        <f>L639+L636</f>
        <v>5239.2150000000001</v>
      </c>
      <c r="M635" s="571">
        <f>M639+M636</f>
        <v>90</v>
      </c>
      <c r="N635" s="379">
        <f>N639+N636</f>
        <v>90</v>
      </c>
    </row>
    <row r="636" spans="1:14" s="113" customFormat="1" ht="28.5">
      <c r="A636" s="109" t="s">
        <v>89</v>
      </c>
      <c r="B636" s="25" t="s">
        <v>425</v>
      </c>
      <c r="C636" s="25" t="s">
        <v>85</v>
      </c>
      <c r="D636" s="25" t="s">
        <v>22</v>
      </c>
      <c r="E636" s="25"/>
      <c r="F636" s="25"/>
      <c r="G636" s="565"/>
      <c r="H636" s="565"/>
      <c r="I636" s="565"/>
      <c r="J636" s="488">
        <f t="shared" ref="J636:L637" si="218">J637</f>
        <v>100</v>
      </c>
      <c r="K636" s="488">
        <f t="shared" si="218"/>
        <v>0</v>
      </c>
      <c r="L636" s="488">
        <f t="shared" si="218"/>
        <v>100</v>
      </c>
      <c r="M636" s="346"/>
      <c r="N636" s="346"/>
    </row>
    <row r="637" spans="1:14" ht="60">
      <c r="A637" s="116" t="s">
        <v>468</v>
      </c>
      <c r="B637" s="26" t="s">
        <v>425</v>
      </c>
      <c r="C637" s="26" t="s">
        <v>85</v>
      </c>
      <c r="D637" s="26" t="s">
        <v>22</v>
      </c>
      <c r="E637" s="26" t="s">
        <v>469</v>
      </c>
      <c r="F637" s="26"/>
      <c r="G637" s="147"/>
      <c r="H637" s="147"/>
      <c r="I637" s="147"/>
      <c r="J637" s="627">
        <f t="shared" si="218"/>
        <v>100</v>
      </c>
      <c r="K637" s="627">
        <f t="shared" si="218"/>
        <v>0</v>
      </c>
      <c r="L637" s="627">
        <f t="shared" si="218"/>
        <v>100</v>
      </c>
      <c r="M637" s="270"/>
      <c r="N637" s="270"/>
    </row>
    <row r="638" spans="1:14">
      <c r="A638" s="116" t="s">
        <v>470</v>
      </c>
      <c r="B638" s="26" t="s">
        <v>425</v>
      </c>
      <c r="C638" s="26" t="s">
        <v>85</v>
      </c>
      <c r="D638" s="26" t="s">
        <v>22</v>
      </c>
      <c r="E638" s="26" t="s">
        <v>469</v>
      </c>
      <c r="F638" s="26" t="s">
        <v>471</v>
      </c>
      <c r="G638" s="147"/>
      <c r="H638" s="147"/>
      <c r="I638" s="147"/>
      <c r="J638" s="627">
        <v>100</v>
      </c>
      <c r="K638" s="627"/>
      <c r="L638" s="627">
        <f>J638+K638</f>
        <v>100</v>
      </c>
      <c r="M638" s="270"/>
      <c r="N638" s="270"/>
    </row>
    <row r="639" spans="1:14" s="113" customFormat="1" ht="30">
      <c r="A639" s="110" t="s">
        <v>92</v>
      </c>
      <c r="B639" s="25" t="s">
        <v>425</v>
      </c>
      <c r="C639" s="25" t="s">
        <v>85</v>
      </c>
      <c r="D639" s="25" t="s">
        <v>24</v>
      </c>
      <c r="E639" s="25"/>
      <c r="F639" s="25"/>
      <c r="G639" s="565">
        <f>G640+G661+G646+G648</f>
        <v>-7703.9000000000005</v>
      </c>
      <c r="H639" s="207">
        <f>H640+H661+H646+H648+H651</f>
        <v>110</v>
      </c>
      <c r="I639" s="207">
        <f>I640+I661+I646+I648+I651</f>
        <v>0</v>
      </c>
      <c r="J639" s="488">
        <f>J640+J661+J646+J648+J651+J653+J657+J655+J659</f>
        <v>4385.6419999999998</v>
      </c>
      <c r="K639" s="488">
        <f>K640+K661+K646+K648+K651+K653+K657+K655+K659</f>
        <v>753.57299999999998</v>
      </c>
      <c r="L639" s="488">
        <f>L640+L661+L646+L648+L651+L653+L657+L655+L659</f>
        <v>5139.2150000000001</v>
      </c>
      <c r="M639" s="465">
        <f>M640+M661+M646+M648+M651+M653+M657</f>
        <v>90</v>
      </c>
      <c r="N639" s="380">
        <f>N640+N661+N646+N648+N651+N653+N657</f>
        <v>90</v>
      </c>
    </row>
    <row r="640" spans="1:14" ht="15.75" hidden="1" customHeight="1">
      <c r="A640" s="180" t="s">
        <v>536</v>
      </c>
      <c r="B640" s="26" t="s">
        <v>425</v>
      </c>
      <c r="C640" s="26" t="s">
        <v>85</v>
      </c>
      <c r="D640" s="26" t="s">
        <v>24</v>
      </c>
      <c r="E640" s="26" t="s">
        <v>537</v>
      </c>
      <c r="F640" s="26"/>
      <c r="G640" s="147">
        <f>G641</f>
        <v>-8006.3</v>
      </c>
      <c r="H640" s="589">
        <f t="shared" ref="H640:N640" si="219">H641+H644</f>
        <v>0</v>
      </c>
      <c r="I640" s="589">
        <f t="shared" si="219"/>
        <v>0</v>
      </c>
      <c r="J640" s="627">
        <f t="shared" si="219"/>
        <v>0</v>
      </c>
      <c r="K640" s="627">
        <f t="shared" si="219"/>
        <v>0</v>
      </c>
      <c r="L640" s="627">
        <f t="shared" si="219"/>
        <v>0</v>
      </c>
      <c r="M640" s="29">
        <f t="shared" si="219"/>
        <v>0</v>
      </c>
      <c r="N640" s="30">
        <f t="shared" si="219"/>
        <v>0</v>
      </c>
    </row>
    <row r="641" spans="1:14" ht="45.75" hidden="1" customHeight="1">
      <c r="A641" s="116" t="s">
        <v>538</v>
      </c>
      <c r="B641" s="26" t="s">
        <v>425</v>
      </c>
      <c r="C641" s="26" t="s">
        <v>85</v>
      </c>
      <c r="D641" s="26" t="s">
        <v>24</v>
      </c>
      <c r="E641" s="26" t="s">
        <v>483</v>
      </c>
      <c r="F641" s="26"/>
      <c r="G641" s="147">
        <f t="shared" ref="G641:M641" si="220">G642+G643</f>
        <v>-8006.3</v>
      </c>
      <c r="H641" s="147">
        <f t="shared" si="220"/>
        <v>0</v>
      </c>
      <c r="I641" s="147">
        <f t="shared" si="220"/>
        <v>0</v>
      </c>
      <c r="J641" s="627">
        <f t="shared" si="220"/>
        <v>0</v>
      </c>
      <c r="K641" s="627">
        <f t="shared" si="220"/>
        <v>0</v>
      </c>
      <c r="L641" s="627">
        <f t="shared" si="220"/>
        <v>0</v>
      </c>
      <c r="M641" s="42">
        <f t="shared" si="220"/>
        <v>0</v>
      </c>
      <c r="N641" s="43">
        <f>N642+N643</f>
        <v>0</v>
      </c>
    </row>
    <row r="642" spans="1:14" ht="60.75" hidden="1" customHeight="1">
      <c r="A642" s="116" t="s">
        <v>539</v>
      </c>
      <c r="B642" s="26" t="s">
        <v>425</v>
      </c>
      <c r="C642" s="26" t="s">
        <v>85</v>
      </c>
      <c r="D642" s="26" t="s">
        <v>24</v>
      </c>
      <c r="E642" s="26" t="s">
        <v>483</v>
      </c>
      <c r="F642" s="26" t="s">
        <v>540</v>
      </c>
      <c r="G642" s="147">
        <f>218.7-7525</f>
        <v>-7306.3</v>
      </c>
      <c r="H642" s="589"/>
      <c r="I642" s="147"/>
      <c r="J642" s="627">
        <f>H642+I642</f>
        <v>0</v>
      </c>
      <c r="K642" s="627"/>
      <c r="L642" s="627">
        <f>J642+K642</f>
        <v>0</v>
      </c>
      <c r="M642" s="42"/>
      <c r="N642" s="30">
        <f>L642+M642</f>
        <v>0</v>
      </c>
    </row>
    <row r="643" spans="1:14" ht="29.25" hidden="1" customHeight="1">
      <c r="A643" s="116" t="s">
        <v>135</v>
      </c>
      <c r="B643" s="26" t="s">
        <v>425</v>
      </c>
      <c r="C643" s="26" t="s">
        <v>85</v>
      </c>
      <c r="D643" s="26" t="s">
        <v>24</v>
      </c>
      <c r="E643" s="26" t="s">
        <v>483</v>
      </c>
      <c r="F643" s="26" t="s">
        <v>133</v>
      </c>
      <c r="G643" s="147">
        <v>-700</v>
      </c>
      <c r="H643" s="589"/>
      <c r="I643" s="147"/>
      <c r="J643" s="627">
        <f>H643+I643</f>
        <v>0</v>
      </c>
      <c r="K643" s="627"/>
      <c r="L643" s="627">
        <f>J643+K643</f>
        <v>0</v>
      </c>
      <c r="M643" s="42"/>
      <c r="N643" s="30">
        <f>L643+M643</f>
        <v>0</v>
      </c>
    </row>
    <row r="644" spans="1:14" ht="35.25" hidden="1" customHeight="1">
      <c r="A644" s="116" t="s">
        <v>541</v>
      </c>
      <c r="B644" s="26" t="s">
        <v>425</v>
      </c>
      <c r="C644" s="26" t="s">
        <v>85</v>
      </c>
      <c r="D644" s="26" t="s">
        <v>24</v>
      </c>
      <c r="E644" s="26" t="s">
        <v>542</v>
      </c>
      <c r="F644" s="26"/>
      <c r="G644" s="147"/>
      <c r="H644" s="589">
        <f t="shared" ref="H644:N644" si="221">H645</f>
        <v>0</v>
      </c>
      <c r="I644" s="589">
        <f t="shared" si="221"/>
        <v>0</v>
      </c>
      <c r="J644" s="627">
        <f t="shared" si="221"/>
        <v>0</v>
      </c>
      <c r="K644" s="627">
        <f t="shared" si="221"/>
        <v>0</v>
      </c>
      <c r="L644" s="627">
        <f t="shared" si="221"/>
        <v>0</v>
      </c>
      <c r="M644" s="29">
        <f t="shared" si="221"/>
        <v>0</v>
      </c>
      <c r="N644" s="30">
        <f t="shared" si="221"/>
        <v>0</v>
      </c>
    </row>
    <row r="645" spans="1:14" ht="30" hidden="1" customHeight="1">
      <c r="A645" s="116" t="s">
        <v>135</v>
      </c>
      <c r="B645" s="26" t="s">
        <v>425</v>
      </c>
      <c r="C645" s="26" t="s">
        <v>85</v>
      </c>
      <c r="D645" s="26" t="s">
        <v>24</v>
      </c>
      <c r="E645" s="26" t="s">
        <v>542</v>
      </c>
      <c r="F645" s="26" t="s">
        <v>133</v>
      </c>
      <c r="G645" s="147"/>
      <c r="H645" s="589"/>
      <c r="I645" s="147"/>
      <c r="J645" s="627">
        <f>H645+I645</f>
        <v>0</v>
      </c>
      <c r="K645" s="627"/>
      <c r="L645" s="627">
        <f>J645+K645</f>
        <v>0</v>
      </c>
      <c r="M645" s="42"/>
      <c r="N645" s="30">
        <f>L645+M645</f>
        <v>0</v>
      </c>
    </row>
    <row r="646" spans="1:14" ht="30.75" hidden="1" customHeight="1">
      <c r="A646" s="31" t="s">
        <v>543</v>
      </c>
      <c r="B646" s="26" t="s">
        <v>425</v>
      </c>
      <c r="C646" s="26" t="s">
        <v>85</v>
      </c>
      <c r="D646" s="26" t="s">
        <v>24</v>
      </c>
      <c r="E646" s="26" t="s">
        <v>544</v>
      </c>
      <c r="F646" s="26"/>
      <c r="G646" s="147">
        <f>G647</f>
        <v>302.39999999999998</v>
      </c>
      <c r="H646" s="589">
        <f>H647</f>
        <v>0</v>
      </c>
      <c r="I646" s="147">
        <f>I647</f>
        <v>0</v>
      </c>
      <c r="J646" s="627">
        <f>H646+I646</f>
        <v>0</v>
      </c>
      <c r="K646" s="627">
        <f>K647</f>
        <v>0</v>
      </c>
      <c r="L646" s="627">
        <f>J646+K646</f>
        <v>0</v>
      </c>
      <c r="M646" s="42">
        <f>M647</f>
        <v>0</v>
      </c>
      <c r="N646" s="30">
        <f>L646+M646</f>
        <v>0</v>
      </c>
    </row>
    <row r="647" spans="1:14" ht="15.75" hidden="1" customHeight="1">
      <c r="A647" s="110" t="s">
        <v>243</v>
      </c>
      <c r="B647" s="26" t="s">
        <v>425</v>
      </c>
      <c r="C647" s="26" t="s">
        <v>85</v>
      </c>
      <c r="D647" s="26" t="s">
        <v>24</v>
      </c>
      <c r="E647" s="26" t="s">
        <v>544</v>
      </c>
      <c r="F647" s="26" t="s">
        <v>244</v>
      </c>
      <c r="G647" s="147">
        <v>302.39999999999998</v>
      </c>
      <c r="H647" s="589"/>
      <c r="I647" s="147"/>
      <c r="J647" s="627">
        <f>H647+I647</f>
        <v>0</v>
      </c>
      <c r="K647" s="627"/>
      <c r="L647" s="627">
        <f>J647+K647</f>
        <v>0</v>
      </c>
      <c r="M647" s="42"/>
      <c r="N647" s="30">
        <f>L647+M647</f>
        <v>0</v>
      </c>
    </row>
    <row r="648" spans="1:14" ht="32.25" hidden="1" customHeight="1">
      <c r="A648" s="110" t="s">
        <v>412</v>
      </c>
      <c r="B648" s="26" t="s">
        <v>425</v>
      </c>
      <c r="C648" s="26" t="s">
        <v>85</v>
      </c>
      <c r="D648" s="26" t="s">
        <v>24</v>
      </c>
      <c r="E648" s="26" t="s">
        <v>413</v>
      </c>
      <c r="F648" s="26"/>
      <c r="G648" s="147">
        <f t="shared" ref="G648:L649" si="222">G649</f>
        <v>0</v>
      </c>
      <c r="H648" s="147">
        <f t="shared" si="222"/>
        <v>110</v>
      </c>
      <c r="I648" s="147">
        <f t="shared" si="222"/>
        <v>0</v>
      </c>
      <c r="J648" s="627">
        <f t="shared" si="222"/>
        <v>0</v>
      </c>
      <c r="K648" s="627">
        <f t="shared" si="222"/>
        <v>0</v>
      </c>
      <c r="L648" s="627">
        <f t="shared" si="222"/>
        <v>0</v>
      </c>
      <c r="M648" s="42">
        <f>M649</f>
        <v>0</v>
      </c>
      <c r="N648" s="43">
        <f>N649</f>
        <v>0</v>
      </c>
    </row>
    <row r="649" spans="1:14" ht="57" hidden="1" customHeight="1">
      <c r="A649" s="110" t="s">
        <v>545</v>
      </c>
      <c r="B649" s="26" t="s">
        <v>425</v>
      </c>
      <c r="C649" s="26" t="s">
        <v>85</v>
      </c>
      <c r="D649" s="26" t="s">
        <v>24</v>
      </c>
      <c r="E649" s="26" t="s">
        <v>546</v>
      </c>
      <c r="F649" s="26"/>
      <c r="G649" s="147">
        <f t="shared" si="222"/>
        <v>0</v>
      </c>
      <c r="H649" s="147">
        <f t="shared" si="222"/>
        <v>110</v>
      </c>
      <c r="I649" s="147">
        <f t="shared" si="222"/>
        <v>0</v>
      </c>
      <c r="J649" s="627">
        <f t="shared" si="222"/>
        <v>0</v>
      </c>
      <c r="K649" s="627">
        <f t="shared" si="222"/>
        <v>0</v>
      </c>
      <c r="L649" s="627">
        <f t="shared" si="222"/>
        <v>0</v>
      </c>
      <c r="M649" s="42">
        <f>M650</f>
        <v>0</v>
      </c>
      <c r="N649" s="43">
        <f>N650</f>
        <v>0</v>
      </c>
    </row>
    <row r="650" spans="1:14" ht="30.75" hidden="1" customHeight="1" thickBot="1">
      <c r="A650" s="143" t="s">
        <v>135</v>
      </c>
      <c r="B650" s="47" t="s">
        <v>425</v>
      </c>
      <c r="C650" s="47" t="s">
        <v>85</v>
      </c>
      <c r="D650" s="47" t="s">
        <v>24</v>
      </c>
      <c r="E650" s="47" t="s">
        <v>546</v>
      </c>
      <c r="F650" s="47" t="s">
        <v>133</v>
      </c>
      <c r="G650" s="590"/>
      <c r="H650" s="591">
        <v>110</v>
      </c>
      <c r="I650" s="590"/>
      <c r="J650" s="628"/>
      <c r="K650" s="628"/>
      <c r="L650" s="628">
        <f>J650+K650</f>
        <v>0</v>
      </c>
      <c r="M650" s="42"/>
      <c r="N650" s="30">
        <f>L650+M650</f>
        <v>0</v>
      </c>
    </row>
    <row r="651" spans="1:14" ht="48" hidden="1" customHeight="1">
      <c r="A651" s="116" t="s">
        <v>547</v>
      </c>
      <c r="B651" s="26" t="s">
        <v>425</v>
      </c>
      <c r="C651" s="26" t="s">
        <v>85</v>
      </c>
      <c r="D651" s="26" t="s">
        <v>24</v>
      </c>
      <c r="E651" s="26" t="s">
        <v>548</v>
      </c>
      <c r="F651" s="26"/>
      <c r="G651" s="147"/>
      <c r="H651" s="589">
        <f t="shared" ref="H651:N651" si="223">H652</f>
        <v>0</v>
      </c>
      <c r="I651" s="589">
        <f t="shared" si="223"/>
        <v>0</v>
      </c>
      <c r="J651" s="627">
        <f t="shared" si="223"/>
        <v>0</v>
      </c>
      <c r="K651" s="627">
        <f t="shared" si="223"/>
        <v>0</v>
      </c>
      <c r="L651" s="627">
        <f t="shared" si="223"/>
        <v>0</v>
      </c>
      <c r="M651" s="29">
        <f t="shared" si="223"/>
        <v>0</v>
      </c>
      <c r="N651" s="30">
        <f t="shared" si="223"/>
        <v>0</v>
      </c>
    </row>
    <row r="652" spans="1:14" ht="30.75" hidden="1" customHeight="1">
      <c r="A652" s="116" t="s">
        <v>135</v>
      </c>
      <c r="B652" s="26" t="s">
        <v>425</v>
      </c>
      <c r="C652" s="26" t="s">
        <v>85</v>
      </c>
      <c r="D652" s="26" t="s">
        <v>24</v>
      </c>
      <c r="E652" s="26" t="s">
        <v>548</v>
      </c>
      <c r="F652" s="26" t="s">
        <v>133</v>
      </c>
      <c r="G652" s="147"/>
      <c r="H652" s="589"/>
      <c r="I652" s="147"/>
      <c r="J652" s="627">
        <f>H652+I652</f>
        <v>0</v>
      </c>
      <c r="K652" s="627"/>
      <c r="L652" s="627">
        <f>J652+K652</f>
        <v>0</v>
      </c>
      <c r="M652" s="42"/>
      <c r="N652" s="30">
        <f>L652+M652</f>
        <v>0</v>
      </c>
    </row>
    <row r="653" spans="1:14" ht="30.75" customHeight="1">
      <c r="A653" s="116" t="s">
        <v>1153</v>
      </c>
      <c r="B653" s="26" t="s">
        <v>425</v>
      </c>
      <c r="C653" s="26" t="s">
        <v>85</v>
      </c>
      <c r="D653" s="26" t="s">
        <v>24</v>
      </c>
      <c r="E653" s="26" t="s">
        <v>483</v>
      </c>
      <c r="F653" s="26"/>
      <c r="G653" s="147"/>
      <c r="H653" s="589"/>
      <c r="I653" s="147"/>
      <c r="J653" s="627">
        <f>J654</f>
        <v>2717.5880000000002</v>
      </c>
      <c r="K653" s="627">
        <f>K654</f>
        <v>0</v>
      </c>
      <c r="L653" s="627">
        <f>L654</f>
        <v>2717.5880000000002</v>
      </c>
      <c r="M653" s="42"/>
      <c r="N653" s="30"/>
    </row>
    <row r="654" spans="1:14" ht="43.5" customHeight="1">
      <c r="A654" s="116" t="s">
        <v>1155</v>
      </c>
      <c r="B654" s="26" t="s">
        <v>425</v>
      </c>
      <c r="C654" s="26" t="s">
        <v>85</v>
      </c>
      <c r="D654" s="26" t="s">
        <v>24</v>
      </c>
      <c r="E654" s="26" t="s">
        <v>483</v>
      </c>
      <c r="F654" s="26" t="s">
        <v>1139</v>
      </c>
      <c r="G654" s="147"/>
      <c r="H654" s="589"/>
      <c r="I654" s="147"/>
      <c r="J654" s="627">
        <v>2717.5880000000002</v>
      </c>
      <c r="K654" s="627"/>
      <c r="L654" s="627">
        <f>J654+K654</f>
        <v>2717.5880000000002</v>
      </c>
      <c r="M654" s="42"/>
      <c r="N654" s="30"/>
    </row>
    <row r="655" spans="1:14" ht="45">
      <c r="A655" s="116" t="s">
        <v>1203</v>
      </c>
      <c r="B655" s="26" t="s">
        <v>425</v>
      </c>
      <c r="C655" s="26" t="s">
        <v>85</v>
      </c>
      <c r="D655" s="26" t="s">
        <v>24</v>
      </c>
      <c r="E655" s="26" t="s">
        <v>1202</v>
      </c>
      <c r="F655" s="26"/>
      <c r="G655" s="147"/>
      <c r="H655" s="589"/>
      <c r="I655" s="147"/>
      <c r="J655" s="627">
        <f>J656</f>
        <v>0</v>
      </c>
      <c r="K655" s="627">
        <f t="shared" ref="K655:L655" si="224">K656</f>
        <v>472.46899999999999</v>
      </c>
      <c r="L655" s="627">
        <f t="shared" si="224"/>
        <v>472.46899999999999</v>
      </c>
      <c r="M655" s="42"/>
      <c r="N655" s="30"/>
    </row>
    <row r="656" spans="1:14">
      <c r="A656" s="110" t="s">
        <v>243</v>
      </c>
      <c r="B656" s="26" t="s">
        <v>425</v>
      </c>
      <c r="C656" s="26" t="s">
        <v>85</v>
      </c>
      <c r="D656" s="26" t="s">
        <v>24</v>
      </c>
      <c r="E656" s="26" t="s">
        <v>1202</v>
      </c>
      <c r="F656" s="26" t="s">
        <v>244</v>
      </c>
      <c r="G656" s="147"/>
      <c r="H656" s="589"/>
      <c r="I656" s="147"/>
      <c r="J656" s="627"/>
      <c r="K656" s="627">
        <v>472.46899999999999</v>
      </c>
      <c r="L656" s="627">
        <f>J656+K656</f>
        <v>472.46899999999999</v>
      </c>
      <c r="M656" s="42"/>
      <c r="N656" s="30"/>
    </row>
    <row r="657" spans="1:15" ht="54" customHeight="1">
      <c r="A657" s="116" t="s">
        <v>1154</v>
      </c>
      <c r="B657" s="26" t="s">
        <v>425</v>
      </c>
      <c r="C657" s="26" t="s">
        <v>85</v>
      </c>
      <c r="D657" s="26" t="s">
        <v>24</v>
      </c>
      <c r="E657" s="26" t="s">
        <v>495</v>
      </c>
      <c r="F657" s="26"/>
      <c r="G657" s="147"/>
      <c r="H657" s="589"/>
      <c r="I657" s="147"/>
      <c r="J657" s="627">
        <f>J658</f>
        <v>884.37400000000002</v>
      </c>
      <c r="K657" s="627">
        <f>K658</f>
        <v>0</v>
      </c>
      <c r="L657" s="627">
        <f>L658</f>
        <v>884.37400000000002</v>
      </c>
      <c r="M657" s="42"/>
      <c r="N657" s="30"/>
    </row>
    <row r="658" spans="1:15" ht="60" customHeight="1">
      <c r="A658" s="116" t="s">
        <v>1155</v>
      </c>
      <c r="B658" s="26" t="s">
        <v>425</v>
      </c>
      <c r="C658" s="26" t="s">
        <v>85</v>
      </c>
      <c r="D658" s="26" t="s">
        <v>24</v>
      </c>
      <c r="E658" s="26" t="s">
        <v>495</v>
      </c>
      <c r="F658" s="26" t="s">
        <v>1139</v>
      </c>
      <c r="G658" s="147"/>
      <c r="H658" s="589"/>
      <c r="I658" s="147"/>
      <c r="J658" s="627">
        <v>884.37400000000002</v>
      </c>
      <c r="K658" s="627"/>
      <c r="L658" s="627">
        <f>J658+K658</f>
        <v>884.37400000000002</v>
      </c>
      <c r="M658" s="42"/>
      <c r="N658" s="30"/>
    </row>
    <row r="659" spans="1:15" ht="45">
      <c r="A659" s="116" t="s">
        <v>1204</v>
      </c>
      <c r="B659" s="26" t="s">
        <v>425</v>
      </c>
      <c r="C659" s="26" t="s">
        <v>85</v>
      </c>
      <c r="D659" s="26" t="s">
        <v>24</v>
      </c>
      <c r="E659" s="26" t="s">
        <v>548</v>
      </c>
      <c r="F659" s="26"/>
      <c r="G659" s="147"/>
      <c r="H659" s="589"/>
      <c r="I659" s="147"/>
      <c r="J659" s="627">
        <f>J660</f>
        <v>0</v>
      </c>
      <c r="K659" s="627">
        <f t="shared" ref="K659" si="225">K660</f>
        <v>398.46100000000001</v>
      </c>
      <c r="L659" s="627">
        <f t="shared" ref="L659" si="226">L660</f>
        <v>398.46100000000001</v>
      </c>
      <c r="M659" s="42"/>
      <c r="N659" s="30"/>
    </row>
    <row r="660" spans="1:15">
      <c r="A660" s="110" t="s">
        <v>243</v>
      </c>
      <c r="B660" s="26" t="s">
        <v>425</v>
      </c>
      <c r="C660" s="26" t="s">
        <v>85</v>
      </c>
      <c r="D660" s="26" t="s">
        <v>24</v>
      </c>
      <c r="E660" s="26" t="s">
        <v>548</v>
      </c>
      <c r="F660" s="26" t="s">
        <v>244</v>
      </c>
      <c r="G660" s="147"/>
      <c r="H660" s="589"/>
      <c r="I660" s="147"/>
      <c r="J660" s="627"/>
      <c r="K660" s="627">
        <v>398.46100000000001</v>
      </c>
      <c r="L660" s="627">
        <f>J660+K660</f>
        <v>398.46100000000001</v>
      </c>
      <c r="M660" s="42"/>
      <c r="N660" s="30"/>
    </row>
    <row r="661" spans="1:15" ht="30.75" customHeight="1">
      <c r="A661" s="110" t="s">
        <v>412</v>
      </c>
      <c r="B661" s="26" t="s">
        <v>425</v>
      </c>
      <c r="C661" s="26" t="s">
        <v>85</v>
      </c>
      <c r="D661" s="26" t="s">
        <v>24</v>
      </c>
      <c r="E661" s="26" t="s">
        <v>413</v>
      </c>
      <c r="F661" s="26"/>
      <c r="G661" s="27">
        <f>G662</f>
        <v>0</v>
      </c>
      <c r="H661" s="27">
        <f>H662</f>
        <v>0</v>
      </c>
      <c r="I661" s="27">
        <f>I662</f>
        <v>0</v>
      </c>
      <c r="J661" s="627">
        <f>J662+J666</f>
        <v>783.68000000000006</v>
      </c>
      <c r="K661" s="627">
        <f>K662+K666</f>
        <v>-117.357</v>
      </c>
      <c r="L661" s="627">
        <f>L662+L666</f>
        <v>666.32299999999998</v>
      </c>
      <c r="M661" s="42">
        <f>M664</f>
        <v>90</v>
      </c>
      <c r="N661" s="43">
        <f>N664</f>
        <v>90</v>
      </c>
    </row>
    <row r="662" spans="1:15" ht="45">
      <c r="A662" s="110" t="s">
        <v>554</v>
      </c>
      <c r="B662" s="26" t="s">
        <v>425</v>
      </c>
      <c r="C662" s="26" t="s">
        <v>85</v>
      </c>
      <c r="D662" s="26" t="s">
        <v>24</v>
      </c>
      <c r="E662" s="26" t="s">
        <v>546</v>
      </c>
      <c r="F662" s="26"/>
      <c r="G662" s="147"/>
      <c r="H662" s="147"/>
      <c r="I662" s="147"/>
      <c r="J662" s="627">
        <f>J663</f>
        <v>320</v>
      </c>
      <c r="K662" s="627">
        <f>K663</f>
        <v>-117.357</v>
      </c>
      <c r="L662" s="627">
        <f>J662+K662</f>
        <v>202.643</v>
      </c>
      <c r="M662" s="42"/>
      <c r="N662" s="43"/>
    </row>
    <row r="663" spans="1:15" ht="30">
      <c r="A663" s="110" t="s">
        <v>135</v>
      </c>
      <c r="B663" s="26" t="s">
        <v>425</v>
      </c>
      <c r="C663" s="26" t="s">
        <v>85</v>
      </c>
      <c r="D663" s="26" t="s">
        <v>24</v>
      </c>
      <c r="E663" s="26" t="s">
        <v>546</v>
      </c>
      <c r="F663" s="26" t="s">
        <v>133</v>
      </c>
      <c r="G663" s="147"/>
      <c r="H663" s="147"/>
      <c r="I663" s="147"/>
      <c r="J663" s="627">
        <v>320</v>
      </c>
      <c r="K663" s="627">
        <v>-117.357</v>
      </c>
      <c r="L663" s="627">
        <f>J663+K663</f>
        <v>202.643</v>
      </c>
      <c r="M663" s="42"/>
      <c r="N663" s="43"/>
    </row>
    <row r="664" spans="1:15" ht="88.5" hidden="1" customHeight="1">
      <c r="A664" s="110" t="s">
        <v>549</v>
      </c>
      <c r="B664" s="26" t="s">
        <v>425</v>
      </c>
      <c r="C664" s="26" t="s">
        <v>85</v>
      </c>
      <c r="D664" s="26" t="s">
        <v>24</v>
      </c>
      <c r="E664" s="26" t="s">
        <v>550</v>
      </c>
      <c r="F664" s="26"/>
      <c r="G664" s="147">
        <f t="shared" ref="G664:N664" si="227">G665</f>
        <v>0</v>
      </c>
      <c r="H664" s="147">
        <f t="shared" si="227"/>
        <v>110</v>
      </c>
      <c r="I664" s="147">
        <f t="shared" si="227"/>
        <v>0</v>
      </c>
      <c r="J664" s="627">
        <f t="shared" si="227"/>
        <v>0</v>
      </c>
      <c r="K664" s="627">
        <f t="shared" si="227"/>
        <v>0</v>
      </c>
      <c r="L664" s="627">
        <f t="shared" si="227"/>
        <v>0</v>
      </c>
      <c r="M664" s="42">
        <f t="shared" si="227"/>
        <v>90</v>
      </c>
      <c r="N664" s="43">
        <f t="shared" si="227"/>
        <v>90</v>
      </c>
    </row>
    <row r="665" spans="1:15" ht="17.25" hidden="1" customHeight="1" thickBot="1">
      <c r="A665" s="110" t="s">
        <v>243</v>
      </c>
      <c r="B665" s="26" t="s">
        <v>425</v>
      </c>
      <c r="C665" s="26" t="s">
        <v>85</v>
      </c>
      <c r="D665" s="26" t="s">
        <v>24</v>
      </c>
      <c r="E665" s="26" t="s">
        <v>550</v>
      </c>
      <c r="F665" s="26" t="s">
        <v>244</v>
      </c>
      <c r="G665" s="147"/>
      <c r="H665" s="589">
        <v>110</v>
      </c>
      <c r="I665" s="147"/>
      <c r="J665" s="628"/>
      <c r="K665" s="627"/>
      <c r="L665" s="627">
        <f>J665+K665</f>
        <v>0</v>
      </c>
      <c r="M665" s="188">
        <v>90</v>
      </c>
      <c r="N665" s="103">
        <f>L665+M665</f>
        <v>90</v>
      </c>
      <c r="O665" s="32"/>
    </row>
    <row r="666" spans="1:15" ht="29.25" customHeight="1" thickBot="1">
      <c r="A666" s="110" t="s">
        <v>406</v>
      </c>
      <c r="B666" s="26" t="s">
        <v>425</v>
      </c>
      <c r="C666" s="26" t="s">
        <v>85</v>
      </c>
      <c r="D666" s="26" t="s">
        <v>24</v>
      </c>
      <c r="E666" s="26" t="s">
        <v>1034</v>
      </c>
      <c r="F666" s="26"/>
      <c r="G666" s="147"/>
      <c r="H666" s="589"/>
      <c r="I666" s="147"/>
      <c r="J666" s="627">
        <f>J667</f>
        <v>463.68</v>
      </c>
      <c r="K666" s="627">
        <f>K667</f>
        <v>0</v>
      </c>
      <c r="L666" s="627">
        <f>L667</f>
        <v>463.68</v>
      </c>
      <c r="M666" s="189"/>
      <c r="N666" s="190"/>
      <c r="O666" s="32"/>
    </row>
    <row r="667" spans="1:15" ht="17.25" customHeight="1" thickBot="1">
      <c r="A667" s="110" t="s">
        <v>243</v>
      </c>
      <c r="B667" s="26" t="s">
        <v>425</v>
      </c>
      <c r="C667" s="26" t="s">
        <v>85</v>
      </c>
      <c r="D667" s="26" t="s">
        <v>24</v>
      </c>
      <c r="E667" s="26" t="s">
        <v>1034</v>
      </c>
      <c r="F667" s="26" t="s">
        <v>244</v>
      </c>
      <c r="G667" s="147"/>
      <c r="H667" s="589"/>
      <c r="I667" s="147"/>
      <c r="J667" s="627">
        <v>463.68</v>
      </c>
      <c r="K667" s="627"/>
      <c r="L667" s="627">
        <f>J667+K667</f>
        <v>463.68</v>
      </c>
      <c r="M667" s="189"/>
      <c r="N667" s="190"/>
      <c r="O667" s="32"/>
    </row>
    <row r="668" spans="1:15" ht="17.25" customHeight="1" thickBot="1">
      <c r="A668" s="176" t="s">
        <v>99</v>
      </c>
      <c r="B668" s="128" t="s">
        <v>425</v>
      </c>
      <c r="C668" s="128" t="s">
        <v>36</v>
      </c>
      <c r="D668" s="128"/>
      <c r="E668" s="128"/>
      <c r="F668" s="128"/>
      <c r="G668" s="604"/>
      <c r="H668" s="605"/>
      <c r="I668" s="604"/>
      <c r="J668" s="381">
        <f>J669</f>
        <v>955.1</v>
      </c>
      <c r="K668" s="381">
        <f>K669</f>
        <v>11.621</v>
      </c>
      <c r="L668" s="381">
        <f>L669</f>
        <v>966.721</v>
      </c>
      <c r="M668" s="189"/>
      <c r="N668" s="190"/>
      <c r="O668" s="32"/>
    </row>
    <row r="669" spans="1:15" ht="30" customHeight="1" thickBot="1">
      <c r="A669" s="109" t="s">
        <v>73</v>
      </c>
      <c r="B669" s="25" t="s">
        <v>425</v>
      </c>
      <c r="C669" s="25" t="s">
        <v>36</v>
      </c>
      <c r="D669" s="25" t="s">
        <v>22</v>
      </c>
      <c r="E669" s="25"/>
      <c r="F669" s="25"/>
      <c r="G669" s="565">
        <f t="shared" ref="G669:L671" si="228">G670</f>
        <v>0</v>
      </c>
      <c r="H669" s="565">
        <f t="shared" si="228"/>
        <v>666</v>
      </c>
      <c r="I669" s="565">
        <f t="shared" si="228"/>
        <v>0</v>
      </c>
      <c r="J669" s="488">
        <f t="shared" si="228"/>
        <v>955.1</v>
      </c>
      <c r="K669" s="488">
        <f t="shared" si="228"/>
        <v>11.621</v>
      </c>
      <c r="L669" s="488">
        <f t="shared" si="228"/>
        <v>966.721</v>
      </c>
      <c r="M669" s="189"/>
      <c r="N669" s="190"/>
      <c r="O669" s="32"/>
    </row>
    <row r="670" spans="1:15" ht="29.25" customHeight="1" thickBot="1">
      <c r="A670" s="110" t="s">
        <v>524</v>
      </c>
      <c r="B670" s="26" t="s">
        <v>425</v>
      </c>
      <c r="C670" s="26" t="s">
        <v>36</v>
      </c>
      <c r="D670" s="26" t="s">
        <v>22</v>
      </c>
      <c r="E670" s="26" t="s">
        <v>525</v>
      </c>
      <c r="F670" s="26"/>
      <c r="G670" s="147">
        <f t="shared" si="228"/>
        <v>0</v>
      </c>
      <c r="H670" s="147">
        <f t="shared" si="228"/>
        <v>666</v>
      </c>
      <c r="I670" s="147">
        <f t="shared" si="228"/>
        <v>0</v>
      </c>
      <c r="J670" s="627">
        <f t="shared" si="228"/>
        <v>955.1</v>
      </c>
      <c r="K670" s="627">
        <f t="shared" si="228"/>
        <v>11.621</v>
      </c>
      <c r="L670" s="627">
        <f t="shared" si="228"/>
        <v>966.721</v>
      </c>
      <c r="M670" s="189"/>
      <c r="N670" s="190"/>
      <c r="O670" s="32"/>
    </row>
    <row r="671" spans="1:15" ht="45" customHeight="1" thickBot="1">
      <c r="A671" s="116" t="s">
        <v>526</v>
      </c>
      <c r="B671" s="26" t="s">
        <v>425</v>
      </c>
      <c r="C671" s="26" t="s">
        <v>36</v>
      </c>
      <c r="D671" s="26" t="s">
        <v>22</v>
      </c>
      <c r="E671" s="26" t="s">
        <v>527</v>
      </c>
      <c r="F671" s="26"/>
      <c r="G671" s="147">
        <f t="shared" si="228"/>
        <v>0</v>
      </c>
      <c r="H671" s="147">
        <f t="shared" si="228"/>
        <v>666</v>
      </c>
      <c r="I671" s="147">
        <f t="shared" si="228"/>
        <v>0</v>
      </c>
      <c r="J671" s="627">
        <f t="shared" si="228"/>
        <v>955.1</v>
      </c>
      <c r="K671" s="627">
        <f t="shared" si="228"/>
        <v>11.621</v>
      </c>
      <c r="L671" s="627">
        <f t="shared" si="228"/>
        <v>966.721</v>
      </c>
      <c r="M671" s="189"/>
      <c r="N671" s="190"/>
      <c r="O671" s="32"/>
    </row>
    <row r="672" spans="1:15" ht="16.5" customHeight="1" thickBot="1">
      <c r="A672" s="110" t="s">
        <v>304</v>
      </c>
      <c r="B672" s="26" t="s">
        <v>425</v>
      </c>
      <c r="C672" s="26" t="s">
        <v>36</v>
      </c>
      <c r="D672" s="26" t="s">
        <v>22</v>
      </c>
      <c r="E672" s="26" t="s">
        <v>527</v>
      </c>
      <c r="F672" s="26" t="s">
        <v>305</v>
      </c>
      <c r="G672" s="147"/>
      <c r="H672" s="147">
        <v>666</v>
      </c>
      <c r="I672" s="147"/>
      <c r="J672" s="627">
        <v>955.1</v>
      </c>
      <c r="K672" s="627">
        <f>11.621</f>
        <v>11.621</v>
      </c>
      <c r="L672" s="627">
        <f>J672+K672</f>
        <v>966.721</v>
      </c>
      <c r="M672" s="189"/>
      <c r="N672" s="190"/>
      <c r="O672" s="11">
        <v>880</v>
      </c>
    </row>
    <row r="673" spans="1:16" ht="30" thickBot="1">
      <c r="A673" s="615" t="s">
        <v>551</v>
      </c>
      <c r="B673" s="209" t="s">
        <v>552</v>
      </c>
      <c r="C673" s="209"/>
      <c r="D673" s="209"/>
      <c r="E673" s="209"/>
      <c r="F673" s="209"/>
      <c r="G673" s="211">
        <f>G674+G694</f>
        <v>166.57999999999998</v>
      </c>
      <c r="H673" s="211">
        <f>H674+H694+H720</f>
        <v>6376.0199999999995</v>
      </c>
      <c r="I673" s="211">
        <f>I674+I694+I720</f>
        <v>0</v>
      </c>
      <c r="J673" s="625">
        <f>J674+J694+J720+J683+J725+J679</f>
        <v>9070.2078600000004</v>
      </c>
      <c r="K673" s="625">
        <f>K674+K694+K720+K683+K725+K679</f>
        <v>132.59142</v>
      </c>
      <c r="L673" s="625">
        <f>L674+L694+L720+L683+L725+L679</f>
        <v>9202.7992799999993</v>
      </c>
      <c r="M673" s="89">
        <f>M674+M694+M720+M683</f>
        <v>52.756</v>
      </c>
      <c r="N673" s="90">
        <f>N674+N694+N720+N683</f>
        <v>5452.1209999999992</v>
      </c>
      <c r="O673" s="15">
        <f>L673-L709-L707</f>
        <v>9164.7992799999993</v>
      </c>
      <c r="P673" s="15"/>
    </row>
    <row r="674" spans="1:16" s="161" customFormat="1" ht="14.25">
      <c r="A674" s="176" t="s">
        <v>18</v>
      </c>
      <c r="B674" s="34" t="s">
        <v>552</v>
      </c>
      <c r="C674" s="34" t="s">
        <v>21</v>
      </c>
      <c r="D674" s="34"/>
      <c r="E674" s="34"/>
      <c r="F674" s="34"/>
      <c r="G674" s="585">
        <f t="shared" ref="G674:N677" si="229">G675</f>
        <v>0</v>
      </c>
      <c r="H674" s="585">
        <f t="shared" si="229"/>
        <v>774.87</v>
      </c>
      <c r="I674" s="585">
        <f t="shared" si="229"/>
        <v>0</v>
      </c>
      <c r="J674" s="379">
        <f t="shared" si="229"/>
        <v>832.74199999999996</v>
      </c>
      <c r="K674" s="379">
        <f t="shared" si="229"/>
        <v>0</v>
      </c>
      <c r="L674" s="379">
        <f t="shared" si="229"/>
        <v>832.74199999999996</v>
      </c>
      <c r="M674" s="106">
        <f t="shared" si="229"/>
        <v>-78.244</v>
      </c>
      <c r="N674" s="107">
        <f t="shared" si="229"/>
        <v>754.49799999999993</v>
      </c>
    </row>
    <row r="675" spans="1:16" s="113" customFormat="1" ht="75">
      <c r="A675" s="110" t="s">
        <v>272</v>
      </c>
      <c r="B675" s="25" t="s">
        <v>552</v>
      </c>
      <c r="C675" s="25" t="s">
        <v>21</v>
      </c>
      <c r="D675" s="25" t="s">
        <v>26</v>
      </c>
      <c r="E675" s="25"/>
      <c r="F675" s="25"/>
      <c r="G675" s="565">
        <f t="shared" si="229"/>
        <v>0</v>
      </c>
      <c r="H675" s="565">
        <f t="shared" si="229"/>
        <v>774.87</v>
      </c>
      <c r="I675" s="565">
        <f t="shared" si="229"/>
        <v>0</v>
      </c>
      <c r="J675" s="488">
        <f t="shared" si="229"/>
        <v>832.74199999999996</v>
      </c>
      <c r="K675" s="488">
        <f t="shared" si="229"/>
        <v>0</v>
      </c>
      <c r="L675" s="488">
        <f t="shared" si="229"/>
        <v>832.74199999999996</v>
      </c>
      <c r="M675" s="95">
        <f t="shared" si="229"/>
        <v>-78.244</v>
      </c>
      <c r="N675" s="96">
        <f t="shared" si="229"/>
        <v>754.49799999999993</v>
      </c>
    </row>
    <row r="676" spans="1:16" ht="30">
      <c r="A676" s="110" t="s">
        <v>411</v>
      </c>
      <c r="B676" s="26" t="s">
        <v>552</v>
      </c>
      <c r="C676" s="26" t="s">
        <v>21</v>
      </c>
      <c r="D676" s="26" t="s">
        <v>26</v>
      </c>
      <c r="E676" s="26" t="s">
        <v>191</v>
      </c>
      <c r="F676" s="26"/>
      <c r="G676" s="147">
        <f t="shared" si="229"/>
        <v>0</v>
      </c>
      <c r="H676" s="147">
        <f t="shared" si="229"/>
        <v>774.87</v>
      </c>
      <c r="I676" s="147">
        <f t="shared" si="229"/>
        <v>0</v>
      </c>
      <c r="J676" s="627">
        <f t="shared" si="229"/>
        <v>832.74199999999996</v>
      </c>
      <c r="K676" s="627">
        <f t="shared" si="229"/>
        <v>0</v>
      </c>
      <c r="L676" s="627">
        <f t="shared" si="229"/>
        <v>832.74199999999996</v>
      </c>
      <c r="M676" s="42">
        <f t="shared" si="229"/>
        <v>-78.244</v>
      </c>
      <c r="N676" s="43">
        <f t="shared" si="229"/>
        <v>754.49799999999993</v>
      </c>
    </row>
    <row r="677" spans="1:16">
      <c r="A677" s="110" t="s">
        <v>192</v>
      </c>
      <c r="B677" s="26" t="s">
        <v>552</v>
      </c>
      <c r="C677" s="26" t="s">
        <v>21</v>
      </c>
      <c r="D677" s="26" t="s">
        <v>26</v>
      </c>
      <c r="E677" s="26" t="s">
        <v>193</v>
      </c>
      <c r="F677" s="26"/>
      <c r="G677" s="147">
        <f t="shared" si="229"/>
        <v>0</v>
      </c>
      <c r="H677" s="147">
        <f t="shared" si="229"/>
        <v>774.87</v>
      </c>
      <c r="I677" s="147">
        <f t="shared" si="229"/>
        <v>0</v>
      </c>
      <c r="J677" s="627">
        <f t="shared" si="229"/>
        <v>832.74199999999996</v>
      </c>
      <c r="K677" s="627">
        <f t="shared" si="229"/>
        <v>0</v>
      </c>
      <c r="L677" s="627">
        <f t="shared" si="229"/>
        <v>832.74199999999996</v>
      </c>
      <c r="M677" s="42">
        <f t="shared" si="229"/>
        <v>-78.244</v>
      </c>
      <c r="N677" s="43">
        <f t="shared" si="229"/>
        <v>754.49799999999993</v>
      </c>
    </row>
    <row r="678" spans="1:16" ht="30">
      <c r="A678" s="116" t="s">
        <v>135</v>
      </c>
      <c r="B678" s="26" t="s">
        <v>552</v>
      </c>
      <c r="C678" s="26" t="s">
        <v>21</v>
      </c>
      <c r="D678" s="26" t="s">
        <v>26</v>
      </c>
      <c r="E678" s="26" t="s">
        <v>193</v>
      </c>
      <c r="F678" s="26" t="s">
        <v>133</v>
      </c>
      <c r="G678" s="147"/>
      <c r="H678" s="191">
        <v>774.87</v>
      </c>
      <c r="I678" s="191"/>
      <c r="J678" s="627">
        <v>832.74199999999996</v>
      </c>
      <c r="K678" s="627"/>
      <c r="L678" s="627">
        <f>J678+K678</f>
        <v>832.74199999999996</v>
      </c>
      <c r="M678" s="42">
        <f>-78.244</f>
        <v>-78.244</v>
      </c>
      <c r="N678" s="30">
        <f>L678+M678</f>
        <v>754.49799999999993</v>
      </c>
      <c r="O678" s="44">
        <v>774.97</v>
      </c>
      <c r="P678" s="15">
        <f>L678-O678</f>
        <v>57.771999999999935</v>
      </c>
    </row>
    <row r="679" spans="1:16" s="458" customFormat="1" ht="14.25">
      <c r="A679" s="455" t="s">
        <v>48</v>
      </c>
      <c r="B679" s="456" t="s">
        <v>552</v>
      </c>
      <c r="C679" s="456" t="s">
        <v>26</v>
      </c>
      <c r="D679" s="456"/>
      <c r="E679" s="456"/>
      <c r="F679" s="456"/>
      <c r="G679" s="616"/>
      <c r="H679" s="617"/>
      <c r="I679" s="617"/>
      <c r="J679" s="635">
        <f>J680</f>
        <v>25.989460000000001</v>
      </c>
      <c r="K679" s="635">
        <f t="shared" ref="K679:N681" si="230">K680</f>
        <v>25.989419999999999</v>
      </c>
      <c r="L679" s="635">
        <f t="shared" si="230"/>
        <v>51.978880000000004</v>
      </c>
      <c r="M679" s="464">
        <f t="shared" si="230"/>
        <v>0</v>
      </c>
      <c r="N679" s="457">
        <f t="shared" si="230"/>
        <v>0</v>
      </c>
      <c r="P679" s="459"/>
    </row>
    <row r="680" spans="1:16">
      <c r="A680" s="121" t="s">
        <v>50</v>
      </c>
      <c r="B680" s="25" t="s">
        <v>552</v>
      </c>
      <c r="C680" s="25" t="s">
        <v>26</v>
      </c>
      <c r="D680" s="25" t="s">
        <v>21</v>
      </c>
      <c r="E680" s="25"/>
      <c r="F680" s="25"/>
      <c r="G680" s="147"/>
      <c r="H680" s="191"/>
      <c r="I680" s="191"/>
      <c r="J680" s="488">
        <f>J681</f>
        <v>25.989460000000001</v>
      </c>
      <c r="K680" s="488">
        <f t="shared" si="230"/>
        <v>25.989419999999999</v>
      </c>
      <c r="L680" s="488">
        <f t="shared" si="230"/>
        <v>51.978880000000004</v>
      </c>
      <c r="M680" s="465">
        <f t="shared" si="230"/>
        <v>0</v>
      </c>
      <c r="N680" s="380">
        <f t="shared" si="230"/>
        <v>0</v>
      </c>
      <c r="O680" s="44"/>
      <c r="P680" s="15"/>
    </row>
    <row r="681" spans="1:16" ht="30">
      <c r="A681" s="123" t="s">
        <v>1150</v>
      </c>
      <c r="B681" s="26" t="s">
        <v>552</v>
      </c>
      <c r="C681" s="26" t="s">
        <v>26</v>
      </c>
      <c r="D681" s="26" t="s">
        <v>21</v>
      </c>
      <c r="E681" s="26" t="s">
        <v>1140</v>
      </c>
      <c r="F681" s="26"/>
      <c r="G681" s="147"/>
      <c r="H681" s="191"/>
      <c r="I681" s="191"/>
      <c r="J681" s="627">
        <f>J682</f>
        <v>25.989460000000001</v>
      </c>
      <c r="K681" s="627">
        <f t="shared" si="230"/>
        <v>25.989419999999999</v>
      </c>
      <c r="L681" s="627">
        <f t="shared" si="230"/>
        <v>51.978880000000004</v>
      </c>
      <c r="M681" s="42"/>
      <c r="N681" s="30"/>
      <c r="O681" s="44"/>
      <c r="P681" s="15"/>
    </row>
    <row r="682" spans="1:16" ht="30">
      <c r="A682" s="116" t="s">
        <v>135</v>
      </c>
      <c r="B682" s="26" t="s">
        <v>552</v>
      </c>
      <c r="C682" s="26" t="s">
        <v>26</v>
      </c>
      <c r="D682" s="26" t="s">
        <v>21</v>
      </c>
      <c r="E682" s="26" t="s">
        <v>1140</v>
      </c>
      <c r="F682" s="26" t="s">
        <v>142</v>
      </c>
      <c r="G682" s="147"/>
      <c r="H682" s="191"/>
      <c r="I682" s="191"/>
      <c r="J682" s="627">
        <v>25.989460000000001</v>
      </c>
      <c r="K682" s="627">
        <v>25.989419999999999</v>
      </c>
      <c r="L682" s="627">
        <f>J682+K682</f>
        <v>51.978880000000004</v>
      </c>
      <c r="M682" s="42"/>
      <c r="N682" s="30"/>
      <c r="O682" s="44"/>
      <c r="P682" s="15"/>
    </row>
    <row r="683" spans="1:16" s="161" customFormat="1" ht="14.25">
      <c r="A683" s="181" t="s">
        <v>63</v>
      </c>
      <c r="B683" s="34" t="s">
        <v>552</v>
      </c>
      <c r="C683" s="34" t="s">
        <v>32</v>
      </c>
      <c r="D683" s="34"/>
      <c r="E683" s="34"/>
      <c r="F683" s="34"/>
      <c r="G683" s="585" t="e">
        <f>G705+G719+#REF!</f>
        <v>#REF!</v>
      </c>
      <c r="H683" s="588">
        <f>H705+H719+H684</f>
        <v>3071.02</v>
      </c>
      <c r="I683" s="588">
        <f>I705+I719+I684</f>
        <v>0</v>
      </c>
      <c r="J683" s="379">
        <f>J684</f>
        <v>258.57499999999999</v>
      </c>
      <c r="K683" s="379">
        <f>K684</f>
        <v>2.1649999999999991</v>
      </c>
      <c r="L683" s="379">
        <f>L684</f>
        <v>260.74</v>
      </c>
      <c r="M683" s="36">
        <f>M684</f>
        <v>50</v>
      </c>
      <c r="N683" s="94">
        <f>N684</f>
        <v>50</v>
      </c>
    </row>
    <row r="684" spans="1:16" s="113" customFormat="1" ht="28.5">
      <c r="A684" s="119" t="s">
        <v>68</v>
      </c>
      <c r="B684" s="25" t="s">
        <v>552</v>
      </c>
      <c r="C684" s="25" t="s">
        <v>32</v>
      </c>
      <c r="D684" s="25" t="s">
        <v>32</v>
      </c>
      <c r="E684" s="25"/>
      <c r="F684" s="25"/>
      <c r="G684" s="488">
        <f t="shared" ref="G684:J684" si="231">G685+G689+G691+G687</f>
        <v>0</v>
      </c>
      <c r="H684" s="488">
        <f t="shared" si="231"/>
        <v>15.72</v>
      </c>
      <c r="I684" s="488">
        <f t="shared" si="231"/>
        <v>0</v>
      </c>
      <c r="J684" s="488">
        <f t="shared" si="231"/>
        <v>258.57499999999999</v>
      </c>
      <c r="K684" s="488">
        <f>K685+K689+K691+K687</f>
        <v>2.1649999999999991</v>
      </c>
      <c r="L684" s="488">
        <f>L685+L689+L691+L687</f>
        <v>260.74</v>
      </c>
      <c r="M684" s="95">
        <f>M685</f>
        <v>50</v>
      </c>
      <c r="N684" s="96">
        <f>N685</f>
        <v>50</v>
      </c>
    </row>
    <row r="685" spans="1:16" ht="30" hidden="1">
      <c r="A685" s="116" t="s">
        <v>519</v>
      </c>
      <c r="B685" s="26" t="s">
        <v>552</v>
      </c>
      <c r="C685" s="26" t="s">
        <v>32</v>
      </c>
      <c r="D685" s="26" t="s">
        <v>32</v>
      </c>
      <c r="E685" s="26" t="s">
        <v>520</v>
      </c>
      <c r="F685" s="26"/>
      <c r="G685" s="147">
        <f t="shared" ref="G685:I685" si="232">G686</f>
        <v>0</v>
      </c>
      <c r="H685" s="147">
        <f t="shared" si="232"/>
        <v>15.72</v>
      </c>
      <c r="I685" s="147">
        <f t="shared" si="232"/>
        <v>0</v>
      </c>
      <c r="J685" s="627">
        <f>J686</f>
        <v>0</v>
      </c>
      <c r="K685" s="627">
        <f>K686</f>
        <v>0</v>
      </c>
      <c r="L685" s="627">
        <f>L686</f>
        <v>0</v>
      </c>
      <c r="M685" s="42">
        <f>M686</f>
        <v>50</v>
      </c>
      <c r="N685" s="43">
        <f>N686</f>
        <v>50</v>
      </c>
    </row>
    <row r="686" spans="1:16" ht="30" hidden="1">
      <c r="A686" s="116" t="s">
        <v>135</v>
      </c>
      <c r="B686" s="26" t="s">
        <v>552</v>
      </c>
      <c r="C686" s="26" t="s">
        <v>32</v>
      </c>
      <c r="D686" s="26" t="s">
        <v>32</v>
      </c>
      <c r="E686" s="26" t="s">
        <v>520</v>
      </c>
      <c r="F686" s="26" t="s">
        <v>133</v>
      </c>
      <c r="G686" s="147"/>
      <c r="H686" s="147">
        <v>15.72</v>
      </c>
      <c r="I686" s="147"/>
      <c r="J686" s="627"/>
      <c r="K686" s="627"/>
      <c r="L686" s="627">
        <f>J686+K686</f>
        <v>0</v>
      </c>
      <c r="M686" s="42">
        <v>50</v>
      </c>
      <c r="N686" s="30">
        <f>L686+M686</f>
        <v>50</v>
      </c>
    </row>
    <row r="687" spans="1:16" ht="30">
      <c r="A687" s="618" t="s">
        <v>1206</v>
      </c>
      <c r="B687" s="26" t="s">
        <v>552</v>
      </c>
      <c r="C687" s="26" t="s">
        <v>32</v>
      </c>
      <c r="D687" s="26" t="s">
        <v>32</v>
      </c>
      <c r="E687" s="26" t="s">
        <v>520</v>
      </c>
      <c r="F687" s="26"/>
      <c r="G687" s="147"/>
      <c r="H687" s="147"/>
      <c r="I687" s="147"/>
      <c r="J687" s="627">
        <f>J688</f>
        <v>0</v>
      </c>
      <c r="K687" s="627">
        <f t="shared" ref="K687:L687" si="233">K688</f>
        <v>58.014000000000003</v>
      </c>
      <c r="L687" s="627">
        <f t="shared" si="233"/>
        <v>58.014000000000003</v>
      </c>
      <c r="M687" s="42"/>
      <c r="N687" s="30"/>
    </row>
    <row r="688" spans="1:16" ht="30">
      <c r="A688" s="178" t="s">
        <v>152</v>
      </c>
      <c r="B688" s="26" t="s">
        <v>552</v>
      </c>
      <c r="C688" s="26" t="s">
        <v>32</v>
      </c>
      <c r="D688" s="26" t="s">
        <v>32</v>
      </c>
      <c r="E688" s="26" t="s">
        <v>520</v>
      </c>
      <c r="F688" s="26" t="s">
        <v>142</v>
      </c>
      <c r="G688" s="147"/>
      <c r="H688" s="147"/>
      <c r="I688" s="147"/>
      <c r="J688" s="627"/>
      <c r="K688" s="627">
        <v>58.014000000000003</v>
      </c>
      <c r="L688" s="627">
        <f>J688+K688</f>
        <v>58.014000000000003</v>
      </c>
      <c r="M688" s="42"/>
      <c r="N688" s="30"/>
    </row>
    <row r="689" spans="1:16" ht="30">
      <c r="A689" s="110" t="s">
        <v>145</v>
      </c>
      <c r="B689" s="26" t="s">
        <v>552</v>
      </c>
      <c r="C689" s="26" t="s">
        <v>32</v>
      </c>
      <c r="D689" s="26" t="s">
        <v>32</v>
      </c>
      <c r="E689" s="26" t="s">
        <v>553</v>
      </c>
      <c r="F689" s="26"/>
      <c r="G689" s="147"/>
      <c r="H689" s="147"/>
      <c r="I689" s="147"/>
      <c r="J689" s="627">
        <f>J690</f>
        <v>187.57499999999999</v>
      </c>
      <c r="K689" s="627">
        <f>K690</f>
        <v>-55.849000000000004</v>
      </c>
      <c r="L689" s="627">
        <f>L690</f>
        <v>131.726</v>
      </c>
      <c r="M689" s="42"/>
      <c r="N689" s="30"/>
    </row>
    <row r="690" spans="1:16" ht="30">
      <c r="A690" s="178" t="s">
        <v>152</v>
      </c>
      <c r="B690" s="26" t="s">
        <v>552</v>
      </c>
      <c r="C690" s="26" t="s">
        <v>32</v>
      </c>
      <c r="D690" s="26" t="s">
        <v>32</v>
      </c>
      <c r="E690" s="26" t="s">
        <v>553</v>
      </c>
      <c r="F690" s="26" t="s">
        <v>142</v>
      </c>
      <c r="G690" s="147"/>
      <c r="H690" s="147"/>
      <c r="I690" s="147"/>
      <c r="J690" s="627">
        <v>187.57499999999999</v>
      </c>
      <c r="K690" s="627">
        <f>1.613+0.552-58.014</f>
        <v>-55.849000000000004</v>
      </c>
      <c r="L690" s="627">
        <f>J690+K690</f>
        <v>131.726</v>
      </c>
      <c r="M690" s="42"/>
      <c r="N690" s="30"/>
      <c r="O690" s="44">
        <v>124.86</v>
      </c>
      <c r="P690" s="15">
        <f>L690-O690</f>
        <v>6.8659999999999997</v>
      </c>
    </row>
    <row r="691" spans="1:16" ht="30">
      <c r="A691" s="110" t="s">
        <v>412</v>
      </c>
      <c r="B691" s="26" t="s">
        <v>552</v>
      </c>
      <c r="C691" s="26" t="s">
        <v>32</v>
      </c>
      <c r="D691" s="26" t="s">
        <v>32</v>
      </c>
      <c r="E691" s="26" t="s">
        <v>413</v>
      </c>
      <c r="F691" s="26"/>
      <c r="G691" s="147"/>
      <c r="H691" s="147"/>
      <c r="I691" s="147"/>
      <c r="J691" s="627">
        <f t="shared" ref="J691:L692" si="234">J692</f>
        <v>71</v>
      </c>
      <c r="K691" s="627">
        <f t="shared" si="234"/>
        <v>0</v>
      </c>
      <c r="L691" s="627">
        <f t="shared" si="234"/>
        <v>71</v>
      </c>
      <c r="M691" s="42"/>
      <c r="N691" s="30"/>
      <c r="O691" s="44"/>
    </row>
    <row r="692" spans="1:16" ht="45">
      <c r="A692" s="110" t="s">
        <v>554</v>
      </c>
      <c r="B692" s="26" t="s">
        <v>552</v>
      </c>
      <c r="C692" s="26" t="s">
        <v>32</v>
      </c>
      <c r="D692" s="26" t="s">
        <v>32</v>
      </c>
      <c r="E692" s="26" t="s">
        <v>546</v>
      </c>
      <c r="F692" s="26"/>
      <c r="G692" s="147"/>
      <c r="H692" s="147"/>
      <c r="I692" s="147"/>
      <c r="J692" s="627">
        <f t="shared" si="234"/>
        <v>71</v>
      </c>
      <c r="K692" s="627">
        <f t="shared" si="234"/>
        <v>0</v>
      </c>
      <c r="L692" s="627">
        <f t="shared" si="234"/>
        <v>71</v>
      </c>
      <c r="M692" s="42"/>
      <c r="N692" s="30"/>
      <c r="O692" s="44"/>
    </row>
    <row r="693" spans="1:16" ht="30">
      <c r="A693" s="110" t="s">
        <v>135</v>
      </c>
      <c r="B693" s="26" t="s">
        <v>552</v>
      </c>
      <c r="C693" s="26" t="s">
        <v>32</v>
      </c>
      <c r="D693" s="26" t="s">
        <v>32</v>
      </c>
      <c r="E693" s="26" t="s">
        <v>546</v>
      </c>
      <c r="F693" s="26" t="s">
        <v>133</v>
      </c>
      <c r="G693" s="147"/>
      <c r="H693" s="147"/>
      <c r="I693" s="147"/>
      <c r="J693" s="627">
        <v>71</v>
      </c>
      <c r="K693" s="627"/>
      <c r="L693" s="627">
        <f>J693+K693</f>
        <v>71</v>
      </c>
      <c r="M693" s="42"/>
      <c r="N693" s="30"/>
      <c r="O693" s="44">
        <v>166</v>
      </c>
      <c r="P693" s="15">
        <f>L693-O693</f>
        <v>-95</v>
      </c>
    </row>
    <row r="694" spans="1:16" s="161" customFormat="1" ht="28.5">
      <c r="A694" s="176" t="s">
        <v>555</v>
      </c>
      <c r="B694" s="34" t="s">
        <v>552</v>
      </c>
      <c r="C694" s="34" t="s">
        <v>53</v>
      </c>
      <c r="D694" s="34"/>
      <c r="E694" s="34"/>
      <c r="F694" s="34"/>
      <c r="G694" s="585">
        <f>G695+G716</f>
        <v>166.57999999999998</v>
      </c>
      <c r="H694" s="585">
        <f>H695+H716</f>
        <v>5601.15</v>
      </c>
      <c r="I694" s="585">
        <f>I695+I716</f>
        <v>0</v>
      </c>
      <c r="J694" s="379">
        <f>J695+J716+J712</f>
        <v>6674.1624000000002</v>
      </c>
      <c r="K694" s="379">
        <f>K695+K716+K712</f>
        <v>104.437</v>
      </c>
      <c r="L694" s="379">
        <f>L695+L716+L712</f>
        <v>6778.5993999999992</v>
      </c>
      <c r="M694" s="152">
        <f>M695+M716+M712</f>
        <v>1</v>
      </c>
      <c r="N694" s="35">
        <f>N695+N716+N712</f>
        <v>4567.6229999999996</v>
      </c>
    </row>
    <row r="695" spans="1:16" s="113" customFormat="1" ht="14.25">
      <c r="A695" s="109" t="s">
        <v>72</v>
      </c>
      <c r="B695" s="25" t="s">
        <v>552</v>
      </c>
      <c r="C695" s="25" t="s">
        <v>53</v>
      </c>
      <c r="D695" s="25" t="s">
        <v>21</v>
      </c>
      <c r="E695" s="25"/>
      <c r="F695" s="25"/>
      <c r="G695" s="565">
        <f t="shared" ref="G695:M695" si="235">G696+G703</f>
        <v>137.57999999999998</v>
      </c>
      <c r="H695" s="565">
        <f t="shared" si="235"/>
        <v>3820.25</v>
      </c>
      <c r="I695" s="565">
        <f t="shared" si="235"/>
        <v>0</v>
      </c>
      <c r="J695" s="488">
        <f>J696+J703+J708+J710</f>
        <v>4562.1120000000001</v>
      </c>
      <c r="K695" s="488">
        <f>K696+K703+K708+K710</f>
        <v>48.010999999999996</v>
      </c>
      <c r="L695" s="488">
        <f>L696+L703+L708+L710</f>
        <v>4610.1229999999996</v>
      </c>
      <c r="M695" s="95">
        <f t="shared" si="235"/>
        <v>51</v>
      </c>
      <c r="N695" s="96">
        <f>N696+N703</f>
        <v>4617.6229999999996</v>
      </c>
    </row>
    <row r="696" spans="1:16">
      <c r="A696" s="110" t="s">
        <v>556</v>
      </c>
      <c r="B696" s="26" t="s">
        <v>552</v>
      </c>
      <c r="C696" s="26" t="s">
        <v>53</v>
      </c>
      <c r="D696" s="26" t="s">
        <v>21</v>
      </c>
      <c r="E696" s="26" t="s">
        <v>557</v>
      </c>
      <c r="F696" s="26"/>
      <c r="G696" s="147">
        <f t="shared" ref="G696:N696" si="236">G697</f>
        <v>67.58</v>
      </c>
      <c r="H696" s="147">
        <f t="shared" si="236"/>
        <v>2510.85</v>
      </c>
      <c r="I696" s="147">
        <f t="shared" si="236"/>
        <v>0</v>
      </c>
      <c r="J696" s="627">
        <f t="shared" si="236"/>
        <v>1230.173</v>
      </c>
      <c r="K696" s="627">
        <f t="shared" si="236"/>
        <v>11.050999999999998</v>
      </c>
      <c r="L696" s="627">
        <f t="shared" si="236"/>
        <v>1241.2239999999999</v>
      </c>
      <c r="M696" s="42">
        <f t="shared" si="236"/>
        <v>-39</v>
      </c>
      <c r="N696" s="43">
        <f t="shared" si="236"/>
        <v>1202.2239999999999</v>
      </c>
    </row>
    <row r="697" spans="1:16" ht="30">
      <c r="A697" s="110" t="s">
        <v>145</v>
      </c>
      <c r="B697" s="26" t="s">
        <v>552</v>
      </c>
      <c r="C697" s="26" t="s">
        <v>53</v>
      </c>
      <c r="D697" s="26" t="s">
        <v>21</v>
      </c>
      <c r="E697" s="26" t="s">
        <v>321</v>
      </c>
      <c r="F697" s="26"/>
      <c r="G697" s="147">
        <f>G698</f>
        <v>67.58</v>
      </c>
      <c r="H697" s="147">
        <f>H698</f>
        <v>2510.85</v>
      </c>
      <c r="I697" s="147">
        <f>I698</f>
        <v>0</v>
      </c>
      <c r="J697" s="627">
        <f>J698+J699+J701</f>
        <v>1230.173</v>
      </c>
      <c r="K697" s="627">
        <f>K698+K699+K701</f>
        <v>11.050999999999998</v>
      </c>
      <c r="L697" s="627">
        <f>L698+L699+L701</f>
        <v>1241.2239999999999</v>
      </c>
      <c r="M697" s="42">
        <f>M698</f>
        <v>-39</v>
      </c>
      <c r="N697" s="43">
        <f>N698</f>
        <v>1202.2239999999999</v>
      </c>
    </row>
    <row r="698" spans="1:16" ht="30">
      <c r="A698" s="110" t="s">
        <v>141</v>
      </c>
      <c r="B698" s="26" t="s">
        <v>552</v>
      </c>
      <c r="C698" s="26" t="s">
        <v>53</v>
      </c>
      <c r="D698" s="26" t="s">
        <v>21</v>
      </c>
      <c r="E698" s="26" t="s">
        <v>321</v>
      </c>
      <c r="F698" s="26" t="s">
        <v>142</v>
      </c>
      <c r="G698" s="147">
        <f>67.58</f>
        <v>67.58</v>
      </c>
      <c r="H698" s="589">
        <v>2510.85</v>
      </c>
      <c r="I698" s="147"/>
      <c r="J698" s="627">
        <v>1230.173</v>
      </c>
      <c r="K698" s="627">
        <f>8.235+2.816</f>
        <v>11.050999999999998</v>
      </c>
      <c r="L698" s="627">
        <f>J698+K698</f>
        <v>1241.2239999999999</v>
      </c>
      <c r="M698" s="192">
        <f>-4-35</f>
        <v>-39</v>
      </c>
      <c r="N698" s="30">
        <f>L698+M698</f>
        <v>1202.2239999999999</v>
      </c>
      <c r="O698" s="44">
        <v>1151.4100000000001</v>
      </c>
      <c r="P698" s="15">
        <f>L698-O698</f>
        <v>89.813999999999851</v>
      </c>
    </row>
    <row r="699" spans="1:16" ht="30" hidden="1">
      <c r="A699" s="31" t="s">
        <v>558</v>
      </c>
      <c r="B699" s="26" t="s">
        <v>552</v>
      </c>
      <c r="C699" s="26" t="s">
        <v>53</v>
      </c>
      <c r="D699" s="26" t="s">
        <v>21</v>
      </c>
      <c r="E699" s="26" t="s">
        <v>321</v>
      </c>
      <c r="F699" s="26"/>
      <c r="G699" s="147"/>
      <c r="H699" s="589"/>
      <c r="I699" s="147"/>
      <c r="J699" s="627">
        <f>J700</f>
        <v>0</v>
      </c>
      <c r="K699" s="627">
        <f>K700</f>
        <v>0</v>
      </c>
      <c r="L699" s="627">
        <f>L700</f>
        <v>0</v>
      </c>
      <c r="M699" s="192"/>
      <c r="N699" s="30"/>
      <c r="P699" s="97"/>
    </row>
    <row r="700" spans="1:16" ht="30" hidden="1">
      <c r="A700" s="31" t="s">
        <v>152</v>
      </c>
      <c r="B700" s="26" t="s">
        <v>552</v>
      </c>
      <c r="C700" s="26" t="s">
        <v>53</v>
      </c>
      <c r="D700" s="26" t="s">
        <v>21</v>
      </c>
      <c r="E700" s="26" t="s">
        <v>559</v>
      </c>
      <c r="F700" s="26" t="s">
        <v>142</v>
      </c>
      <c r="G700" s="147"/>
      <c r="H700" s="589"/>
      <c r="I700" s="147"/>
      <c r="J700" s="627"/>
      <c r="K700" s="627"/>
      <c r="L700" s="627">
        <f>J700+K700</f>
        <v>0</v>
      </c>
      <c r="M700" s="192"/>
      <c r="N700" s="30"/>
      <c r="O700" s="56"/>
      <c r="P700" s="97"/>
    </row>
    <row r="701" spans="1:16" ht="45" hidden="1">
      <c r="A701" s="31" t="s">
        <v>155</v>
      </c>
      <c r="B701" s="26" t="s">
        <v>552</v>
      </c>
      <c r="C701" s="26" t="s">
        <v>53</v>
      </c>
      <c r="D701" s="26" t="s">
        <v>21</v>
      </c>
      <c r="E701" s="26" t="s">
        <v>321</v>
      </c>
      <c r="F701" s="26"/>
      <c r="G701" s="147"/>
      <c r="H701" s="589"/>
      <c r="I701" s="147"/>
      <c r="J701" s="627">
        <f>J702</f>
        <v>0</v>
      </c>
      <c r="K701" s="627">
        <f>K702</f>
        <v>0</v>
      </c>
      <c r="L701" s="627">
        <f>L702</f>
        <v>0</v>
      </c>
      <c r="M701" s="192"/>
      <c r="N701" s="30"/>
      <c r="P701" s="97"/>
    </row>
    <row r="702" spans="1:16" ht="30" hidden="1">
      <c r="A702" s="31" t="s">
        <v>152</v>
      </c>
      <c r="B702" s="26" t="s">
        <v>552</v>
      </c>
      <c r="C702" s="26" t="s">
        <v>53</v>
      </c>
      <c r="D702" s="26" t="s">
        <v>21</v>
      </c>
      <c r="E702" s="26" t="s">
        <v>560</v>
      </c>
      <c r="F702" s="26" t="s">
        <v>142</v>
      </c>
      <c r="G702" s="147"/>
      <c r="H702" s="589"/>
      <c r="I702" s="147"/>
      <c r="J702" s="627"/>
      <c r="K702" s="627">
        <v>0</v>
      </c>
      <c r="L702" s="628">
        <f>J702+K702</f>
        <v>0</v>
      </c>
      <c r="M702" s="192"/>
      <c r="N702" s="30"/>
      <c r="O702" s="44"/>
      <c r="P702" s="97"/>
    </row>
    <row r="703" spans="1:16" ht="45">
      <c r="A703" s="110" t="s">
        <v>561</v>
      </c>
      <c r="B703" s="26" t="s">
        <v>552</v>
      </c>
      <c r="C703" s="26" t="s">
        <v>53</v>
      </c>
      <c r="D703" s="26" t="s">
        <v>21</v>
      </c>
      <c r="E703" s="26" t="s">
        <v>562</v>
      </c>
      <c r="F703" s="26"/>
      <c r="G703" s="147">
        <f t="shared" ref="G703:M703" si="237">G704+G706</f>
        <v>70</v>
      </c>
      <c r="H703" s="147">
        <f t="shared" si="237"/>
        <v>1309.4000000000001</v>
      </c>
      <c r="I703" s="147">
        <f t="shared" si="237"/>
        <v>0</v>
      </c>
      <c r="J703" s="627">
        <f t="shared" si="237"/>
        <v>3288.4389999999999</v>
      </c>
      <c r="K703" s="627">
        <f t="shared" si="237"/>
        <v>36.96</v>
      </c>
      <c r="L703" s="627">
        <f t="shared" si="237"/>
        <v>3325.3989999999999</v>
      </c>
      <c r="M703" s="42">
        <f t="shared" si="237"/>
        <v>90</v>
      </c>
      <c r="N703" s="43">
        <f>N704+N706</f>
        <v>3415.3989999999999</v>
      </c>
    </row>
    <row r="704" spans="1:16" ht="30">
      <c r="A704" s="110" t="s">
        <v>145</v>
      </c>
      <c r="B704" s="26" t="s">
        <v>552</v>
      </c>
      <c r="C704" s="26" t="s">
        <v>53</v>
      </c>
      <c r="D704" s="26" t="s">
        <v>21</v>
      </c>
      <c r="E704" s="26" t="s">
        <v>563</v>
      </c>
      <c r="F704" s="26"/>
      <c r="G704" s="147">
        <f t="shared" ref="G704:N704" si="238">G705</f>
        <v>70</v>
      </c>
      <c r="H704" s="147">
        <f t="shared" si="238"/>
        <v>1274.4000000000001</v>
      </c>
      <c r="I704" s="147">
        <f t="shared" si="238"/>
        <v>0</v>
      </c>
      <c r="J704" s="627">
        <f t="shared" si="238"/>
        <v>3250.4389999999999</v>
      </c>
      <c r="K704" s="627">
        <f t="shared" si="238"/>
        <v>36.96</v>
      </c>
      <c r="L704" s="627">
        <f t="shared" si="238"/>
        <v>3287.3989999999999</v>
      </c>
      <c r="M704" s="42">
        <f t="shared" si="238"/>
        <v>90</v>
      </c>
      <c r="N704" s="43">
        <f t="shared" si="238"/>
        <v>3377.3989999999999</v>
      </c>
    </row>
    <row r="705" spans="1:19" ht="30">
      <c r="A705" s="110" t="s">
        <v>141</v>
      </c>
      <c r="B705" s="26" t="s">
        <v>552</v>
      </c>
      <c r="C705" s="26" t="s">
        <v>53</v>
      </c>
      <c r="D705" s="26" t="s">
        <v>21</v>
      </c>
      <c r="E705" s="26" t="s">
        <v>563</v>
      </c>
      <c r="F705" s="26" t="s">
        <v>142</v>
      </c>
      <c r="G705" s="147">
        <f>10+60</f>
        <v>70</v>
      </c>
      <c r="H705" s="589">
        <v>1274.4000000000001</v>
      </c>
      <c r="I705" s="147"/>
      <c r="J705" s="627">
        <v>3250.4389999999999</v>
      </c>
      <c r="K705" s="627">
        <f>27.541+9.419</f>
        <v>36.96</v>
      </c>
      <c r="L705" s="627">
        <f>J705+K705</f>
        <v>3287.3989999999999</v>
      </c>
      <c r="M705" s="42">
        <v>90</v>
      </c>
      <c r="N705" s="30">
        <f>L705+M705</f>
        <v>3377.3989999999999</v>
      </c>
      <c r="O705" s="44">
        <v>2316.75</v>
      </c>
      <c r="P705" s="15">
        <f>L705-O705</f>
        <v>970.64899999999989</v>
      </c>
    </row>
    <row r="706" spans="1:19" ht="30">
      <c r="A706" s="110" t="s">
        <v>145</v>
      </c>
      <c r="B706" s="26" t="s">
        <v>552</v>
      </c>
      <c r="C706" s="26" t="s">
        <v>53</v>
      </c>
      <c r="D706" s="26" t="s">
        <v>21</v>
      </c>
      <c r="E706" s="26" t="s">
        <v>564</v>
      </c>
      <c r="F706" s="26"/>
      <c r="G706" s="147">
        <f t="shared" ref="G706:N706" si="239">G707</f>
        <v>0</v>
      </c>
      <c r="H706" s="589">
        <f t="shared" si="239"/>
        <v>35</v>
      </c>
      <c r="I706" s="147">
        <f t="shared" si="239"/>
        <v>0</v>
      </c>
      <c r="J706" s="627">
        <f t="shared" si="239"/>
        <v>38</v>
      </c>
      <c r="K706" s="627">
        <f t="shared" si="239"/>
        <v>0</v>
      </c>
      <c r="L706" s="627">
        <f t="shared" si="239"/>
        <v>38</v>
      </c>
      <c r="M706" s="42">
        <f t="shared" si="239"/>
        <v>0</v>
      </c>
      <c r="N706" s="30">
        <f t="shared" si="239"/>
        <v>38</v>
      </c>
    </row>
    <row r="707" spans="1:19" ht="30">
      <c r="A707" s="110" t="s">
        <v>141</v>
      </c>
      <c r="B707" s="26" t="s">
        <v>552</v>
      </c>
      <c r="C707" s="26" t="s">
        <v>53</v>
      </c>
      <c r="D707" s="26" t="s">
        <v>21</v>
      </c>
      <c r="E707" s="26" t="s">
        <v>564</v>
      </c>
      <c r="F707" s="26" t="s">
        <v>142</v>
      </c>
      <c r="G707" s="147"/>
      <c r="H707" s="589">
        <v>35</v>
      </c>
      <c r="I707" s="147"/>
      <c r="J707" s="627">
        <v>38</v>
      </c>
      <c r="K707" s="627"/>
      <c r="L707" s="627">
        <f>J707+K707</f>
        <v>38</v>
      </c>
      <c r="M707" s="42"/>
      <c r="N707" s="30">
        <f>L707+M707</f>
        <v>38</v>
      </c>
      <c r="O707" s="44"/>
      <c r="S707" s="156"/>
    </row>
    <row r="708" spans="1:19" ht="45">
      <c r="A708" s="110" t="s">
        <v>565</v>
      </c>
      <c r="B708" s="26" t="s">
        <v>552</v>
      </c>
      <c r="C708" s="26" t="s">
        <v>53</v>
      </c>
      <c r="D708" s="26" t="s">
        <v>21</v>
      </c>
      <c r="E708" s="26" t="s">
        <v>566</v>
      </c>
      <c r="F708" s="26"/>
      <c r="G708" s="147"/>
      <c r="H708" s="589"/>
      <c r="I708" s="147"/>
      <c r="J708" s="627">
        <f>J709</f>
        <v>0</v>
      </c>
      <c r="K708" s="627">
        <f>K709</f>
        <v>0</v>
      </c>
      <c r="L708" s="627">
        <f>L709</f>
        <v>0</v>
      </c>
      <c r="M708" s="42"/>
      <c r="N708" s="30"/>
    </row>
    <row r="709" spans="1:19" ht="30">
      <c r="A709" s="110" t="s">
        <v>141</v>
      </c>
      <c r="B709" s="26" t="s">
        <v>552</v>
      </c>
      <c r="C709" s="26" t="s">
        <v>53</v>
      </c>
      <c r="D709" s="26" t="s">
        <v>21</v>
      </c>
      <c r="E709" s="26" t="s">
        <v>566</v>
      </c>
      <c r="F709" s="26" t="s">
        <v>142</v>
      </c>
      <c r="G709" s="147"/>
      <c r="H709" s="589"/>
      <c r="I709" s="147"/>
      <c r="J709" s="627">
        <v>0</v>
      </c>
      <c r="K709" s="627"/>
      <c r="L709" s="627">
        <f>J709+K709</f>
        <v>0</v>
      </c>
      <c r="M709" s="42"/>
      <c r="N709" s="30"/>
      <c r="O709" s="11">
        <v>43.5</v>
      </c>
      <c r="P709" s="15">
        <f>K709</f>
        <v>0</v>
      </c>
      <c r="S709" s="156"/>
    </row>
    <row r="710" spans="1:19" ht="45">
      <c r="A710" s="110" t="s">
        <v>565</v>
      </c>
      <c r="B710" s="26" t="s">
        <v>552</v>
      </c>
      <c r="C710" s="26" t="s">
        <v>53</v>
      </c>
      <c r="D710" s="26" t="s">
        <v>21</v>
      </c>
      <c r="E710" s="26" t="s">
        <v>1144</v>
      </c>
      <c r="F710" s="26"/>
      <c r="G710" s="147"/>
      <c r="H710" s="589"/>
      <c r="I710" s="147"/>
      <c r="J710" s="627">
        <f>J711</f>
        <v>43.5</v>
      </c>
      <c r="K710" s="627">
        <f>K711</f>
        <v>0</v>
      </c>
      <c r="L710" s="627">
        <f>L711</f>
        <v>43.5</v>
      </c>
      <c r="M710" s="42"/>
      <c r="N710" s="30"/>
      <c r="P710" s="15"/>
      <c r="S710" s="156"/>
    </row>
    <row r="711" spans="1:19" ht="30">
      <c r="A711" s="110" t="s">
        <v>141</v>
      </c>
      <c r="B711" s="26" t="s">
        <v>552</v>
      </c>
      <c r="C711" s="26" t="s">
        <v>53</v>
      </c>
      <c r="D711" s="26" t="s">
        <v>21</v>
      </c>
      <c r="E711" s="26" t="s">
        <v>1144</v>
      </c>
      <c r="F711" s="26" t="s">
        <v>142</v>
      </c>
      <c r="G711" s="147"/>
      <c r="H711" s="589"/>
      <c r="I711" s="147"/>
      <c r="J711" s="627">
        <v>43.5</v>
      </c>
      <c r="K711" s="627"/>
      <c r="L711" s="627">
        <f>J711+K711</f>
        <v>43.5</v>
      </c>
      <c r="M711" s="42"/>
      <c r="N711" s="30"/>
      <c r="P711" s="15"/>
      <c r="S711" s="156"/>
    </row>
    <row r="712" spans="1:19" ht="29.25">
      <c r="A712" s="109" t="s">
        <v>567</v>
      </c>
      <c r="B712" s="25" t="s">
        <v>552</v>
      </c>
      <c r="C712" s="25" t="s">
        <v>53</v>
      </c>
      <c r="D712" s="25" t="s">
        <v>26</v>
      </c>
      <c r="E712" s="25"/>
      <c r="F712" s="25"/>
      <c r="G712" s="565">
        <f t="shared" ref="G712:L714" si="240">G713</f>
        <v>29</v>
      </c>
      <c r="H712" s="565">
        <f t="shared" si="240"/>
        <v>1780.9</v>
      </c>
      <c r="I712" s="565">
        <f t="shared" si="240"/>
        <v>0</v>
      </c>
      <c r="J712" s="488">
        <f t="shared" si="240"/>
        <v>2112.0504000000001</v>
      </c>
      <c r="K712" s="488">
        <f t="shared" si="240"/>
        <v>56.426000000000002</v>
      </c>
      <c r="L712" s="488">
        <f t="shared" si="240"/>
        <v>2168.4764</v>
      </c>
      <c r="M712" s="42"/>
      <c r="N712" s="30"/>
    </row>
    <row r="713" spans="1:19" ht="45">
      <c r="A713" s="110" t="s">
        <v>529</v>
      </c>
      <c r="B713" s="26" t="s">
        <v>552</v>
      </c>
      <c r="C713" s="26" t="s">
        <v>53</v>
      </c>
      <c r="D713" s="26" t="s">
        <v>26</v>
      </c>
      <c r="E713" s="26" t="s">
        <v>175</v>
      </c>
      <c r="F713" s="26"/>
      <c r="G713" s="147">
        <f t="shared" si="240"/>
        <v>29</v>
      </c>
      <c r="H713" s="147">
        <f t="shared" si="240"/>
        <v>1780.9</v>
      </c>
      <c r="I713" s="147">
        <f t="shared" si="240"/>
        <v>0</v>
      </c>
      <c r="J713" s="627">
        <f t="shared" si="240"/>
        <v>2112.0504000000001</v>
      </c>
      <c r="K713" s="627">
        <f t="shared" si="240"/>
        <v>56.426000000000002</v>
      </c>
      <c r="L713" s="627">
        <f>L714</f>
        <v>2168.4764</v>
      </c>
      <c r="M713" s="42"/>
      <c r="N713" s="30"/>
    </row>
    <row r="714" spans="1:19" ht="30">
      <c r="A714" s="110" t="s">
        <v>145</v>
      </c>
      <c r="B714" s="26" t="s">
        <v>552</v>
      </c>
      <c r="C714" s="26" t="s">
        <v>53</v>
      </c>
      <c r="D714" s="26" t="s">
        <v>26</v>
      </c>
      <c r="E714" s="26" t="s">
        <v>176</v>
      </c>
      <c r="F714" s="26"/>
      <c r="G714" s="147">
        <f t="shared" si="240"/>
        <v>29</v>
      </c>
      <c r="H714" s="147">
        <f t="shared" si="240"/>
        <v>1780.9</v>
      </c>
      <c r="I714" s="147">
        <f t="shared" si="240"/>
        <v>0</v>
      </c>
      <c r="J714" s="627">
        <f t="shared" si="240"/>
        <v>2112.0504000000001</v>
      </c>
      <c r="K714" s="627">
        <f t="shared" si="240"/>
        <v>56.426000000000002</v>
      </c>
      <c r="L714" s="627">
        <f t="shared" si="240"/>
        <v>2168.4764</v>
      </c>
      <c r="M714" s="42"/>
      <c r="N714" s="30"/>
    </row>
    <row r="715" spans="1:19" ht="30">
      <c r="A715" s="110" t="s">
        <v>141</v>
      </c>
      <c r="B715" s="26" t="s">
        <v>552</v>
      </c>
      <c r="C715" s="26" t="s">
        <v>53</v>
      </c>
      <c r="D715" s="26" t="s">
        <v>26</v>
      </c>
      <c r="E715" s="26" t="s">
        <v>176</v>
      </c>
      <c r="F715" s="26" t="s">
        <v>142</v>
      </c>
      <c r="G715" s="147">
        <v>29</v>
      </c>
      <c r="H715" s="589">
        <v>1780.9</v>
      </c>
      <c r="I715" s="147"/>
      <c r="J715" s="627">
        <v>2112.0504000000001</v>
      </c>
      <c r="K715" s="627">
        <f>22.672+7.754+26</f>
        <v>56.426000000000002</v>
      </c>
      <c r="L715" s="627">
        <f>J715+K715</f>
        <v>2168.4764</v>
      </c>
      <c r="M715" s="42"/>
      <c r="N715" s="30"/>
      <c r="P715" s="15"/>
    </row>
    <row r="716" spans="1:19" s="113" customFormat="1" ht="42.75" hidden="1">
      <c r="A716" s="109" t="s">
        <v>530</v>
      </c>
      <c r="B716" s="25" t="s">
        <v>552</v>
      </c>
      <c r="C716" s="25" t="s">
        <v>53</v>
      </c>
      <c r="D716" s="25" t="s">
        <v>30</v>
      </c>
      <c r="E716" s="25"/>
      <c r="F716" s="25"/>
      <c r="G716" s="565">
        <f t="shared" ref="G716:N718" si="241">G717</f>
        <v>29</v>
      </c>
      <c r="H716" s="565">
        <f t="shared" si="241"/>
        <v>1780.9</v>
      </c>
      <c r="I716" s="565">
        <f t="shared" si="241"/>
        <v>0</v>
      </c>
      <c r="J716" s="488">
        <f t="shared" si="241"/>
        <v>0</v>
      </c>
      <c r="K716" s="488">
        <f t="shared" si="241"/>
        <v>0</v>
      </c>
      <c r="L716" s="488">
        <f t="shared" si="241"/>
        <v>0</v>
      </c>
      <c r="M716" s="95">
        <f t="shared" si="241"/>
        <v>-50</v>
      </c>
      <c r="N716" s="96">
        <f t="shared" si="241"/>
        <v>-50</v>
      </c>
    </row>
    <row r="717" spans="1:19" ht="45" hidden="1">
      <c r="A717" s="110" t="s">
        <v>529</v>
      </c>
      <c r="B717" s="26" t="s">
        <v>552</v>
      </c>
      <c r="C717" s="26" t="s">
        <v>53</v>
      </c>
      <c r="D717" s="26" t="s">
        <v>30</v>
      </c>
      <c r="E717" s="26" t="s">
        <v>175</v>
      </c>
      <c r="F717" s="26"/>
      <c r="G717" s="147">
        <f t="shared" si="241"/>
        <v>29</v>
      </c>
      <c r="H717" s="147">
        <f t="shared" si="241"/>
        <v>1780.9</v>
      </c>
      <c r="I717" s="147">
        <f t="shared" si="241"/>
        <v>0</v>
      </c>
      <c r="J717" s="627">
        <f t="shared" si="241"/>
        <v>0</v>
      </c>
      <c r="K717" s="627">
        <f t="shared" si="241"/>
        <v>0</v>
      </c>
      <c r="L717" s="627">
        <f>L718</f>
        <v>0</v>
      </c>
      <c r="M717" s="42">
        <f t="shared" si="241"/>
        <v>-50</v>
      </c>
      <c r="N717" s="43">
        <f>N718</f>
        <v>-50</v>
      </c>
    </row>
    <row r="718" spans="1:19" ht="30" hidden="1">
      <c r="A718" s="110" t="s">
        <v>145</v>
      </c>
      <c r="B718" s="26" t="s">
        <v>552</v>
      </c>
      <c r="C718" s="26" t="s">
        <v>53</v>
      </c>
      <c r="D718" s="26" t="s">
        <v>30</v>
      </c>
      <c r="E718" s="26" t="s">
        <v>176</v>
      </c>
      <c r="F718" s="26"/>
      <c r="G718" s="147">
        <f t="shared" si="241"/>
        <v>29</v>
      </c>
      <c r="H718" s="147">
        <f t="shared" si="241"/>
        <v>1780.9</v>
      </c>
      <c r="I718" s="147">
        <f t="shared" si="241"/>
        <v>0</v>
      </c>
      <c r="J718" s="627">
        <f t="shared" si="241"/>
        <v>0</v>
      </c>
      <c r="K718" s="627">
        <f t="shared" si="241"/>
        <v>0</v>
      </c>
      <c r="L718" s="627">
        <f t="shared" si="241"/>
        <v>0</v>
      </c>
      <c r="M718" s="42">
        <f t="shared" si="241"/>
        <v>-50</v>
      </c>
      <c r="N718" s="43">
        <f t="shared" si="241"/>
        <v>-50</v>
      </c>
    </row>
    <row r="719" spans="1:19" ht="30" hidden="1">
      <c r="A719" s="110" t="s">
        <v>141</v>
      </c>
      <c r="B719" s="26" t="s">
        <v>552</v>
      </c>
      <c r="C719" s="26" t="s">
        <v>53</v>
      </c>
      <c r="D719" s="26" t="s">
        <v>30</v>
      </c>
      <c r="E719" s="26" t="s">
        <v>176</v>
      </c>
      <c r="F719" s="26" t="s">
        <v>142</v>
      </c>
      <c r="G719" s="147">
        <v>29</v>
      </c>
      <c r="H719" s="589">
        <v>1780.9</v>
      </c>
      <c r="I719" s="147"/>
      <c r="J719" s="627"/>
      <c r="K719" s="627"/>
      <c r="L719" s="627">
        <f>J719+K719</f>
        <v>0</v>
      </c>
      <c r="M719" s="48">
        <v>-50</v>
      </c>
      <c r="N719" s="49">
        <f>L719+M719</f>
        <v>-50</v>
      </c>
      <c r="O719" s="44"/>
      <c r="P719" s="97"/>
    </row>
    <row r="720" spans="1:19" ht="29.25" hidden="1">
      <c r="A720" s="33" t="s">
        <v>568</v>
      </c>
      <c r="B720" s="34" t="s">
        <v>552</v>
      </c>
      <c r="C720" s="34" t="s">
        <v>47</v>
      </c>
      <c r="D720" s="26"/>
      <c r="E720" s="26"/>
      <c r="F720" s="26"/>
      <c r="G720" s="147"/>
      <c r="H720" s="589">
        <f t="shared" ref="H720:N720" si="242">H721</f>
        <v>0</v>
      </c>
      <c r="I720" s="589">
        <f t="shared" si="242"/>
        <v>0</v>
      </c>
      <c r="J720" s="381">
        <f t="shared" si="242"/>
        <v>0</v>
      </c>
      <c r="K720" s="381">
        <f t="shared" si="242"/>
        <v>0</v>
      </c>
      <c r="L720" s="381">
        <f t="shared" si="242"/>
        <v>0</v>
      </c>
      <c r="M720" s="168">
        <f t="shared" si="242"/>
        <v>80</v>
      </c>
      <c r="N720" s="49">
        <f t="shared" si="242"/>
        <v>80</v>
      </c>
    </row>
    <row r="721" spans="1:19" s="113" customFormat="1" ht="14.25" hidden="1">
      <c r="A721" s="109" t="s">
        <v>82</v>
      </c>
      <c r="B721" s="25" t="s">
        <v>552</v>
      </c>
      <c r="C721" s="25" t="s">
        <v>47</v>
      </c>
      <c r="D721" s="25" t="s">
        <v>53</v>
      </c>
      <c r="E721" s="25"/>
      <c r="F721" s="25"/>
      <c r="G721" s="565">
        <f t="shared" ref="G721:N723" si="243">G722</f>
        <v>0</v>
      </c>
      <c r="H721" s="565">
        <f t="shared" si="243"/>
        <v>0</v>
      </c>
      <c r="I721" s="565">
        <f t="shared" si="243"/>
        <v>0</v>
      </c>
      <c r="J721" s="488">
        <f t="shared" si="243"/>
        <v>0</v>
      </c>
      <c r="K721" s="488">
        <f t="shared" si="243"/>
        <v>0</v>
      </c>
      <c r="L721" s="488">
        <f t="shared" si="243"/>
        <v>0</v>
      </c>
      <c r="M721" s="95">
        <f>M722</f>
        <v>80</v>
      </c>
      <c r="N721" s="96">
        <f t="shared" si="243"/>
        <v>80</v>
      </c>
    </row>
    <row r="722" spans="1:19" ht="30" hidden="1">
      <c r="A722" s="110" t="s">
        <v>532</v>
      </c>
      <c r="B722" s="26" t="s">
        <v>552</v>
      </c>
      <c r="C722" s="26" t="s">
        <v>47</v>
      </c>
      <c r="D722" s="26" t="s">
        <v>53</v>
      </c>
      <c r="E722" s="26" t="s">
        <v>533</v>
      </c>
      <c r="F722" s="26"/>
      <c r="G722" s="147">
        <f t="shared" si="243"/>
        <v>0</v>
      </c>
      <c r="H722" s="147">
        <f t="shared" si="243"/>
        <v>0</v>
      </c>
      <c r="I722" s="147">
        <f t="shared" si="243"/>
        <v>0</v>
      </c>
      <c r="J722" s="627">
        <f t="shared" si="243"/>
        <v>0</v>
      </c>
      <c r="K722" s="627">
        <f t="shared" si="243"/>
        <v>0</v>
      </c>
      <c r="L722" s="627">
        <f t="shared" si="243"/>
        <v>0</v>
      </c>
      <c r="M722" s="42">
        <f>M723</f>
        <v>80</v>
      </c>
      <c r="N722" s="43">
        <f t="shared" si="243"/>
        <v>80</v>
      </c>
    </row>
    <row r="723" spans="1:19" ht="45" hidden="1">
      <c r="A723" s="110" t="s">
        <v>534</v>
      </c>
      <c r="B723" s="26" t="s">
        <v>552</v>
      </c>
      <c r="C723" s="26" t="s">
        <v>47</v>
      </c>
      <c r="D723" s="26" t="s">
        <v>53</v>
      </c>
      <c r="E723" s="26" t="s">
        <v>535</v>
      </c>
      <c r="F723" s="26"/>
      <c r="G723" s="147">
        <f t="shared" si="243"/>
        <v>0</v>
      </c>
      <c r="H723" s="147">
        <f t="shared" si="243"/>
        <v>0</v>
      </c>
      <c r="I723" s="147">
        <f t="shared" si="243"/>
        <v>0</v>
      </c>
      <c r="J723" s="627">
        <f t="shared" si="243"/>
        <v>0</v>
      </c>
      <c r="K723" s="627">
        <f t="shared" si="243"/>
        <v>0</v>
      </c>
      <c r="L723" s="627">
        <f t="shared" si="243"/>
        <v>0</v>
      </c>
      <c r="M723" s="42">
        <f>M724</f>
        <v>80</v>
      </c>
      <c r="N723" s="43">
        <f t="shared" si="243"/>
        <v>80</v>
      </c>
      <c r="R723" s="156"/>
    </row>
    <row r="724" spans="1:19" ht="30.75" hidden="1" thickBot="1">
      <c r="A724" s="116" t="s">
        <v>135</v>
      </c>
      <c r="B724" s="26" t="s">
        <v>552</v>
      </c>
      <c r="C724" s="26" t="s">
        <v>47</v>
      </c>
      <c r="D724" s="26" t="s">
        <v>53</v>
      </c>
      <c r="E724" s="26" t="s">
        <v>535</v>
      </c>
      <c r="F724" s="26" t="s">
        <v>133</v>
      </c>
      <c r="G724" s="147"/>
      <c r="H724" s="589"/>
      <c r="I724" s="147"/>
      <c r="J724" s="627"/>
      <c r="K724" s="627"/>
      <c r="L724" s="627">
        <f>J724+K724</f>
        <v>0</v>
      </c>
      <c r="M724" s="83">
        <v>80</v>
      </c>
      <c r="N724" s="103">
        <f>L724+M724</f>
        <v>80</v>
      </c>
      <c r="O724" s="44"/>
    </row>
    <row r="725" spans="1:19" ht="15.75" thickBot="1">
      <c r="A725" s="33" t="s">
        <v>82</v>
      </c>
      <c r="B725" s="34" t="s">
        <v>552</v>
      </c>
      <c r="C725" s="34" t="s">
        <v>34</v>
      </c>
      <c r="D725" s="26"/>
      <c r="E725" s="26"/>
      <c r="F725" s="26"/>
      <c r="G725" s="147"/>
      <c r="H725" s="589">
        <f>H726</f>
        <v>0</v>
      </c>
      <c r="I725" s="589">
        <f>I726</f>
        <v>0</v>
      </c>
      <c r="J725" s="381">
        <f>J726</f>
        <v>1278.739</v>
      </c>
      <c r="K725" s="381">
        <f>K726</f>
        <v>0</v>
      </c>
      <c r="L725" s="381">
        <f>L726</f>
        <v>1278.739</v>
      </c>
      <c r="M725" s="193"/>
      <c r="N725" s="190"/>
      <c r="O725" s="44"/>
    </row>
    <row r="726" spans="1:19" ht="15.75" thickBot="1">
      <c r="A726" s="109" t="s">
        <v>323</v>
      </c>
      <c r="B726" s="25" t="s">
        <v>552</v>
      </c>
      <c r="C726" s="25" t="s">
        <v>34</v>
      </c>
      <c r="D726" s="25" t="s">
        <v>21</v>
      </c>
      <c r="E726" s="25"/>
      <c r="F726" s="25"/>
      <c r="G726" s="565">
        <f t="shared" ref="G726:L728" si="244">G727</f>
        <v>0</v>
      </c>
      <c r="H726" s="565">
        <f t="shared" si="244"/>
        <v>0</v>
      </c>
      <c r="I726" s="565">
        <f t="shared" si="244"/>
        <v>0</v>
      </c>
      <c r="J726" s="488">
        <f t="shared" si="244"/>
        <v>1278.739</v>
      </c>
      <c r="K726" s="488">
        <f t="shared" si="244"/>
        <v>0</v>
      </c>
      <c r="L726" s="488">
        <f t="shared" si="244"/>
        <v>1278.739</v>
      </c>
      <c r="M726" s="193"/>
      <c r="N726" s="190"/>
      <c r="O726" s="44"/>
    </row>
    <row r="727" spans="1:19" ht="30.75" thickBot="1">
      <c r="A727" s="110" t="s">
        <v>532</v>
      </c>
      <c r="B727" s="26" t="s">
        <v>552</v>
      </c>
      <c r="C727" s="26" t="s">
        <v>34</v>
      </c>
      <c r="D727" s="26" t="s">
        <v>21</v>
      </c>
      <c r="E727" s="26" t="s">
        <v>533</v>
      </c>
      <c r="F727" s="26"/>
      <c r="G727" s="147">
        <f t="shared" si="244"/>
        <v>0</v>
      </c>
      <c r="H727" s="147">
        <f t="shared" si="244"/>
        <v>0</v>
      </c>
      <c r="I727" s="147">
        <f t="shared" si="244"/>
        <v>0</v>
      </c>
      <c r="J727" s="627">
        <f t="shared" si="244"/>
        <v>1278.739</v>
      </c>
      <c r="K727" s="627">
        <f t="shared" si="244"/>
        <v>0</v>
      </c>
      <c r="L727" s="627">
        <f t="shared" si="244"/>
        <v>1278.739</v>
      </c>
      <c r="M727" s="193"/>
      <c r="N727" s="190"/>
      <c r="O727" s="44"/>
    </row>
    <row r="728" spans="1:19" ht="30.75" thickBot="1">
      <c r="A728" s="110" t="s">
        <v>569</v>
      </c>
      <c r="B728" s="26" t="s">
        <v>552</v>
      </c>
      <c r="C728" s="26" t="s">
        <v>34</v>
      </c>
      <c r="D728" s="26" t="s">
        <v>21</v>
      </c>
      <c r="E728" s="26" t="s">
        <v>535</v>
      </c>
      <c r="F728" s="26"/>
      <c r="G728" s="147">
        <f t="shared" si="244"/>
        <v>0</v>
      </c>
      <c r="H728" s="147">
        <f t="shared" si="244"/>
        <v>0</v>
      </c>
      <c r="I728" s="147">
        <f t="shared" si="244"/>
        <v>0</v>
      </c>
      <c r="J728" s="627">
        <f t="shared" si="244"/>
        <v>1278.739</v>
      </c>
      <c r="K728" s="627">
        <f t="shared" si="244"/>
        <v>0</v>
      </c>
      <c r="L728" s="627">
        <f t="shared" si="244"/>
        <v>1278.739</v>
      </c>
      <c r="M728" s="193"/>
      <c r="N728" s="190"/>
      <c r="O728" s="44"/>
    </row>
    <row r="729" spans="1:19" ht="30.75" thickBot="1">
      <c r="A729" s="110" t="s">
        <v>135</v>
      </c>
      <c r="B729" s="26" t="s">
        <v>552</v>
      </c>
      <c r="C729" s="26" t="s">
        <v>34</v>
      </c>
      <c r="D729" s="26" t="s">
        <v>21</v>
      </c>
      <c r="E729" s="26" t="s">
        <v>535</v>
      </c>
      <c r="F729" s="26" t="s">
        <v>133</v>
      </c>
      <c r="G729" s="147"/>
      <c r="H729" s="589"/>
      <c r="I729" s="147"/>
      <c r="J729" s="627">
        <v>1278.739</v>
      </c>
      <c r="K729" s="627"/>
      <c r="L729" s="627">
        <f>J729+K729</f>
        <v>1278.739</v>
      </c>
      <c r="M729" s="193"/>
      <c r="N729" s="190"/>
      <c r="O729" s="521">
        <f>L682+L487+L245+L246</f>
        <v>659.2</v>
      </c>
      <c r="P729" s="156"/>
      <c r="R729" s="163"/>
      <c r="S729" s="156"/>
    </row>
    <row r="730" spans="1:19" s="179" customFormat="1" ht="13.5" customHeight="1" thickBot="1">
      <c r="A730" s="572" t="s">
        <v>570</v>
      </c>
      <c r="B730" s="573"/>
      <c r="C730" s="573"/>
      <c r="D730" s="573"/>
      <c r="E730" s="573"/>
      <c r="F730" s="574"/>
      <c r="G730" s="575" t="e">
        <f t="shared" ref="G730:N730" si="245">G12+G97+G203+G325+G419+G426+G673</f>
        <v>#REF!</v>
      </c>
      <c r="H730" s="576" t="e">
        <f t="shared" si="245"/>
        <v>#REF!</v>
      </c>
      <c r="I730" s="577" t="e">
        <f t="shared" si="245"/>
        <v>#REF!</v>
      </c>
      <c r="J730" s="636">
        <f t="shared" si="245"/>
        <v>565510.98298999993</v>
      </c>
      <c r="K730" s="637">
        <f t="shared" si="245"/>
        <v>61254.738119999995</v>
      </c>
      <c r="L730" s="638">
        <f t="shared" si="245"/>
        <v>626765.72110999993</v>
      </c>
      <c r="M730" s="347" t="e">
        <f t="shared" si="245"/>
        <v>#REF!</v>
      </c>
      <c r="N730" s="194" t="e">
        <f t="shared" si="245"/>
        <v>#REF!</v>
      </c>
      <c r="O730" s="195"/>
      <c r="P730" s="195"/>
      <c r="S730" s="195"/>
    </row>
    <row r="731" spans="1:19">
      <c r="A731" s="45"/>
      <c r="H731" s="45"/>
      <c r="J731" s="156">
        <f>L730-J730</f>
        <v>61254.738119999995</v>
      </c>
      <c r="N731" s="196">
        <v>372157.62</v>
      </c>
      <c r="Q731" s="15"/>
      <c r="R731" s="45"/>
    </row>
    <row r="732" spans="1:19" ht="15.75" thickBot="1">
      <c r="A732" s="45"/>
      <c r="H732" s="45"/>
      <c r="L732" s="619">
        <f>L731-L730</f>
        <v>-626765.72110999993</v>
      </c>
      <c r="N732" s="196" t="e">
        <f>N731-N730</f>
        <v>#REF!</v>
      </c>
      <c r="O732" s="156"/>
      <c r="Q732" s="15"/>
    </row>
    <row r="733" spans="1:19" ht="15.75" thickBot="1">
      <c r="A733" s="45"/>
      <c r="E733" s="11">
        <f>SUM(H734:H744)</f>
        <v>18920.13</v>
      </c>
      <c r="F733" s="197" t="s">
        <v>21</v>
      </c>
      <c r="G733" s="198" t="e">
        <f>G98+G204+G427+G674</f>
        <v>#REF!</v>
      </c>
      <c r="H733" s="198">
        <f>H98+H204+H427+H674</f>
        <v>18920.129999999997</v>
      </c>
      <c r="I733" s="199">
        <f>I98+I204+I427+I674</f>
        <v>0</v>
      </c>
      <c r="J733" s="639">
        <f>J734+J735+J736+J737+J738+J739+J740+J741+J742+J743+J744</f>
        <v>25584.095929999996</v>
      </c>
      <c r="K733" s="640">
        <f>K734+K735+K736+K737+K738+K739+K740+K741+K742+K743+K744</f>
        <v>-515.80600000000004</v>
      </c>
      <c r="L733" s="640">
        <f>L734+L735+L736+L737+L738+L739+L740+L741+L742+L743+L744</f>
        <v>25068.289929999995</v>
      </c>
      <c r="M733" s="200">
        <f>M98+M204+M427+M674</f>
        <v>-833.36</v>
      </c>
      <c r="N733" s="201">
        <f>N98+N204+N427+N674</f>
        <v>22447.904049999997</v>
      </c>
    </row>
    <row r="734" spans="1:19">
      <c r="A734" s="45"/>
      <c r="F734" s="50" t="s">
        <v>571</v>
      </c>
      <c r="G734" s="202">
        <f t="shared" ref="G734:M734" si="246">G428</f>
        <v>0</v>
      </c>
      <c r="H734" s="202">
        <f t="shared" si="246"/>
        <v>861</v>
      </c>
      <c r="I734" s="202">
        <f t="shared" si="246"/>
        <v>0</v>
      </c>
      <c r="J734" s="382">
        <f t="shared" si="246"/>
        <v>1080.095</v>
      </c>
      <c r="K734" s="641">
        <f t="shared" si="246"/>
        <v>0</v>
      </c>
      <c r="L734" s="641">
        <f t="shared" si="246"/>
        <v>1080.095</v>
      </c>
      <c r="M734" s="203">
        <f t="shared" si="246"/>
        <v>0</v>
      </c>
      <c r="N734" s="203">
        <f>N428</f>
        <v>1080.095</v>
      </c>
    </row>
    <row r="735" spans="1:19">
      <c r="A735" s="45"/>
      <c r="F735" s="25" t="s">
        <v>572</v>
      </c>
      <c r="G735" s="204">
        <f>G433</f>
        <v>30</v>
      </c>
      <c r="H735" s="204">
        <f t="shared" ref="H735:N735" si="247">H432</f>
        <v>1353</v>
      </c>
      <c r="I735" s="204">
        <f t="shared" si="247"/>
        <v>0</v>
      </c>
      <c r="J735" s="642">
        <f t="shared" si="247"/>
        <v>1708.9490000000001</v>
      </c>
      <c r="K735" s="488">
        <f t="shared" si="247"/>
        <v>1.722</v>
      </c>
      <c r="L735" s="488">
        <f t="shared" si="247"/>
        <v>1710.671</v>
      </c>
      <c r="M735" s="205">
        <f t="shared" si="247"/>
        <v>0</v>
      </c>
      <c r="N735" s="205">
        <f t="shared" si="247"/>
        <v>1710.671</v>
      </c>
    </row>
    <row r="736" spans="1:19">
      <c r="F736" s="25" t="s">
        <v>573</v>
      </c>
      <c r="G736" s="204" t="e">
        <f t="shared" ref="G736:N736" si="248">G438+G675+G99+G205</f>
        <v>#REF!</v>
      </c>
      <c r="H736" s="206">
        <f t="shared" si="248"/>
        <v>11828.130000000001</v>
      </c>
      <c r="I736" s="206">
        <f t="shared" si="248"/>
        <v>0</v>
      </c>
      <c r="J736" s="642">
        <f t="shared" si="248"/>
        <v>17266.926999999996</v>
      </c>
      <c r="K736" s="642">
        <f t="shared" si="248"/>
        <v>-688.01800000000003</v>
      </c>
      <c r="L736" s="488">
        <f t="shared" si="248"/>
        <v>16578.909</v>
      </c>
      <c r="M736" s="59">
        <f t="shared" si="248"/>
        <v>-216.864</v>
      </c>
      <c r="N736" s="59">
        <f t="shared" si="248"/>
        <v>16362.044999999998</v>
      </c>
    </row>
    <row r="737" spans="5:14">
      <c r="F737" s="25" t="s">
        <v>574</v>
      </c>
      <c r="G737" s="204">
        <f>G449</f>
        <v>0</v>
      </c>
      <c r="H737" s="207">
        <f t="shared" ref="H737:N737" si="249">H451</f>
        <v>0</v>
      </c>
      <c r="I737" s="207">
        <f t="shared" si="249"/>
        <v>0</v>
      </c>
      <c r="J737" s="642">
        <f t="shared" si="249"/>
        <v>0</v>
      </c>
      <c r="K737" s="488">
        <f t="shared" si="249"/>
        <v>0</v>
      </c>
      <c r="L737" s="488">
        <f t="shared" si="249"/>
        <v>0</v>
      </c>
      <c r="M737" s="208">
        <f t="shared" si="249"/>
        <v>0</v>
      </c>
      <c r="N737" s="208">
        <f t="shared" si="249"/>
        <v>0</v>
      </c>
    </row>
    <row r="738" spans="5:14">
      <c r="F738" s="25" t="s">
        <v>575</v>
      </c>
      <c r="G738" s="204">
        <f t="shared" ref="G738:M738" si="250">G214</f>
        <v>412.31000000000006</v>
      </c>
      <c r="H738" s="204">
        <f t="shared" si="250"/>
        <v>2981.6</v>
      </c>
      <c r="I738" s="204">
        <f t="shared" si="250"/>
        <v>0</v>
      </c>
      <c r="J738" s="642">
        <f t="shared" si="250"/>
        <v>3277.306</v>
      </c>
      <c r="K738" s="488">
        <f t="shared" si="250"/>
        <v>44.74</v>
      </c>
      <c r="L738" s="488">
        <f t="shared" si="250"/>
        <v>3322.0459999999998</v>
      </c>
      <c r="M738" s="205">
        <f t="shared" si="250"/>
        <v>-205.49600000000001</v>
      </c>
      <c r="N738" s="59">
        <f>N214</f>
        <v>3116.5499999999997</v>
      </c>
    </row>
    <row r="739" spans="5:14">
      <c r="F739" s="25" t="s">
        <v>576</v>
      </c>
      <c r="G739" s="204">
        <f t="shared" ref="G739:M739" si="251">G454</f>
        <v>0</v>
      </c>
      <c r="H739" s="204">
        <f t="shared" si="251"/>
        <v>20</v>
      </c>
      <c r="I739" s="204">
        <f t="shared" si="251"/>
        <v>0</v>
      </c>
      <c r="J739" s="642">
        <f t="shared" si="251"/>
        <v>164.28892999999999</v>
      </c>
      <c r="K739" s="488">
        <f t="shared" si="251"/>
        <v>-30</v>
      </c>
      <c r="L739" s="488">
        <f t="shared" si="251"/>
        <v>134.28892999999999</v>
      </c>
      <c r="M739" s="205">
        <f t="shared" si="251"/>
        <v>0</v>
      </c>
      <c r="N739" s="59">
        <f>N454</f>
        <v>48.043049999999994</v>
      </c>
    </row>
    <row r="740" spans="5:14" hidden="1">
      <c r="F740" s="209" t="s">
        <v>577</v>
      </c>
      <c r="G740" s="210">
        <f t="shared" ref="G740:M740" si="252">G218</f>
        <v>0</v>
      </c>
      <c r="H740" s="210">
        <f t="shared" si="252"/>
        <v>63</v>
      </c>
      <c r="I740" s="210">
        <f t="shared" si="252"/>
        <v>0</v>
      </c>
      <c r="J740" s="624">
        <f t="shared" si="252"/>
        <v>0</v>
      </c>
      <c r="K740" s="625">
        <f t="shared" si="252"/>
        <v>0</v>
      </c>
      <c r="L740" s="625">
        <f t="shared" si="252"/>
        <v>0</v>
      </c>
      <c r="M740" s="205">
        <f t="shared" si="252"/>
        <v>0</v>
      </c>
      <c r="N740" s="59">
        <f>N218</f>
        <v>0</v>
      </c>
    </row>
    <row r="741" spans="5:14" hidden="1">
      <c r="F741" s="209" t="s">
        <v>577</v>
      </c>
      <c r="G741" s="210"/>
      <c r="H741" s="210"/>
      <c r="I741" s="210"/>
      <c r="J741" s="624">
        <f>J222</f>
        <v>0</v>
      </c>
      <c r="K741" s="624">
        <f>K222</f>
        <v>0</v>
      </c>
      <c r="L741" s="624">
        <f>L222</f>
        <v>0</v>
      </c>
      <c r="M741" s="211">
        <f>M222</f>
        <v>0</v>
      </c>
      <c r="N741" s="211">
        <f>N222</f>
        <v>0</v>
      </c>
    </row>
    <row r="742" spans="5:14" hidden="1">
      <c r="F742" s="25" t="s">
        <v>578</v>
      </c>
      <c r="G742" s="204">
        <f t="shared" ref="G742:M742" si="253">G226</f>
        <v>-233.58</v>
      </c>
      <c r="H742" s="204">
        <f t="shared" si="253"/>
        <v>0</v>
      </c>
      <c r="I742" s="204">
        <f t="shared" si="253"/>
        <v>0</v>
      </c>
      <c r="J742" s="642">
        <f t="shared" si="253"/>
        <v>0</v>
      </c>
      <c r="K742" s="488">
        <f t="shared" si="253"/>
        <v>0</v>
      </c>
      <c r="L742" s="488">
        <f t="shared" si="253"/>
        <v>0</v>
      </c>
      <c r="M742" s="205">
        <f t="shared" si="253"/>
        <v>-323</v>
      </c>
      <c r="N742" s="59">
        <f>N226</f>
        <v>-323</v>
      </c>
    </row>
    <row r="743" spans="5:14">
      <c r="F743" s="25" t="s">
        <v>579</v>
      </c>
      <c r="G743" s="204"/>
      <c r="H743" s="204"/>
      <c r="I743" s="204"/>
      <c r="J743" s="642">
        <f>J460</f>
        <v>2086.5299999999997</v>
      </c>
      <c r="K743" s="642">
        <f>K460</f>
        <v>155.75</v>
      </c>
      <c r="L743" s="642">
        <f>L460</f>
        <v>2242.2799999999997</v>
      </c>
      <c r="M743" s="205"/>
      <c r="N743" s="59"/>
    </row>
    <row r="744" spans="5:14" ht="15.75" thickBot="1">
      <c r="F744" s="212" t="s">
        <v>580</v>
      </c>
      <c r="G744" s="213">
        <f>G230+G470</f>
        <v>-1000</v>
      </c>
      <c r="H744" s="213">
        <f>H230+H470</f>
        <v>1813.4</v>
      </c>
      <c r="I744" s="213">
        <f>I230+I470</f>
        <v>0</v>
      </c>
      <c r="J744" s="643">
        <f>J470</f>
        <v>0</v>
      </c>
      <c r="K744" s="644">
        <f>K470</f>
        <v>0</v>
      </c>
      <c r="L744" s="644">
        <f>L470</f>
        <v>0</v>
      </c>
      <c r="M744" s="216">
        <f>M230+M470</f>
        <v>-88</v>
      </c>
      <c r="N744" s="215">
        <f>N230+N470</f>
        <v>453.5</v>
      </c>
    </row>
    <row r="745" spans="5:14" ht="15.75" thickBot="1">
      <c r="F745" s="217" t="s">
        <v>22</v>
      </c>
      <c r="G745" s="218"/>
      <c r="H745" s="218"/>
      <c r="I745" s="218"/>
      <c r="J745" s="645">
        <f>J746</f>
        <v>541.5</v>
      </c>
      <c r="K745" s="646">
        <f>K746</f>
        <v>0</v>
      </c>
      <c r="L745" s="647">
        <f>L746</f>
        <v>541.5</v>
      </c>
      <c r="M745" s="219"/>
      <c r="N745" s="220"/>
    </row>
    <row r="746" spans="5:14" ht="15.75" thickBot="1">
      <c r="F746" s="221" t="s">
        <v>581</v>
      </c>
      <c r="G746" s="222"/>
      <c r="H746" s="222"/>
      <c r="I746" s="222"/>
      <c r="J746" s="648">
        <f>J231</f>
        <v>541.5</v>
      </c>
      <c r="K746" s="648">
        <f>K231</f>
        <v>0</v>
      </c>
      <c r="L746" s="648">
        <f>L231</f>
        <v>541.5</v>
      </c>
      <c r="M746" s="223"/>
      <c r="N746" s="220"/>
    </row>
    <row r="747" spans="5:14" ht="15.75" thickBot="1">
      <c r="E747" s="11">
        <f>SUM(H748:H749)</f>
        <v>583.70000000000005</v>
      </c>
      <c r="F747" s="197" t="s">
        <v>24</v>
      </c>
      <c r="G747" s="224">
        <f>G476+G420</f>
        <v>0</v>
      </c>
      <c r="H747" s="224">
        <f>H476+H420</f>
        <v>583.70000000000005</v>
      </c>
      <c r="I747" s="224">
        <f>I476+I420</f>
        <v>0</v>
      </c>
      <c r="J747" s="645">
        <f>J748+J749+J750</f>
        <v>790</v>
      </c>
      <c r="K747" s="645">
        <f>K748+K749+K750</f>
        <v>-45</v>
      </c>
      <c r="L747" s="645">
        <f>L748+L749+L750</f>
        <v>745</v>
      </c>
      <c r="M747" s="225">
        <f>M476+M420+M236</f>
        <v>0</v>
      </c>
      <c r="N747" s="226">
        <f>N476+N420+N236</f>
        <v>730</v>
      </c>
    </row>
    <row r="748" spans="5:14">
      <c r="F748" s="50" t="s">
        <v>582</v>
      </c>
      <c r="G748" s="202">
        <f>G421</f>
        <v>0</v>
      </c>
      <c r="H748" s="202">
        <f>H421</f>
        <v>526.1</v>
      </c>
      <c r="I748" s="202">
        <f>I421</f>
        <v>0</v>
      </c>
      <c r="J748" s="382">
        <f>J421+J237</f>
        <v>700</v>
      </c>
      <c r="K748" s="641">
        <f>K421+K237</f>
        <v>0</v>
      </c>
      <c r="L748" s="641">
        <f>L421+L237</f>
        <v>700</v>
      </c>
      <c r="M748" s="51">
        <f>M421+M237</f>
        <v>0</v>
      </c>
      <c r="N748" s="51">
        <f>N421+N237</f>
        <v>700</v>
      </c>
    </row>
    <row r="749" spans="5:14">
      <c r="F749" s="25" t="s">
        <v>583</v>
      </c>
      <c r="G749" s="415">
        <f t="shared" ref="G749:M749" si="254">G477</f>
        <v>0</v>
      </c>
      <c r="H749" s="415">
        <f t="shared" si="254"/>
        <v>57.6</v>
      </c>
      <c r="I749" s="415">
        <f t="shared" si="254"/>
        <v>0</v>
      </c>
      <c r="J749" s="642">
        <f>J477</f>
        <v>75</v>
      </c>
      <c r="K749" s="488">
        <f t="shared" si="254"/>
        <v>-45</v>
      </c>
      <c r="L749" s="488">
        <f t="shared" si="254"/>
        <v>30</v>
      </c>
      <c r="M749" s="216">
        <f t="shared" si="254"/>
        <v>0</v>
      </c>
      <c r="N749" s="215">
        <f>N477</f>
        <v>30</v>
      </c>
    </row>
    <row r="750" spans="5:14" ht="15.75" thickBot="1">
      <c r="F750" s="460" t="s">
        <v>1148</v>
      </c>
      <c r="G750" s="222"/>
      <c r="H750" s="222"/>
      <c r="I750" s="222"/>
      <c r="J750" s="649">
        <f>J481</f>
        <v>15</v>
      </c>
      <c r="K750" s="649">
        <f>K481</f>
        <v>0</v>
      </c>
      <c r="L750" s="649">
        <f>L481</f>
        <v>15</v>
      </c>
      <c r="M750" s="223"/>
      <c r="N750" s="220"/>
    </row>
    <row r="751" spans="5:14">
      <c r="E751" s="11" t="e">
        <f>SUM(H753:H756)</f>
        <v>#REF!</v>
      </c>
      <c r="F751" s="390" t="s">
        <v>26</v>
      </c>
      <c r="G751" s="391" t="e">
        <f>G242+G484</f>
        <v>#REF!</v>
      </c>
      <c r="H751" s="391" t="e">
        <f>H242+H484</f>
        <v>#REF!</v>
      </c>
      <c r="I751" s="391" t="e">
        <f>I242+I484</f>
        <v>#REF!</v>
      </c>
      <c r="J751" s="650">
        <f>J752+J753+J756</f>
        <v>6840.3330000000005</v>
      </c>
      <c r="K751" s="650">
        <f>K752+K753+K756</f>
        <v>2479.0619999999999</v>
      </c>
      <c r="L751" s="650">
        <f t="shared" ref="L751:N751" si="255">L752+L753+L756</f>
        <v>9319.3950000000004</v>
      </c>
      <c r="M751" s="461" t="e">
        <f t="shared" si="255"/>
        <v>#REF!</v>
      </c>
      <c r="N751" s="461" t="e">
        <f t="shared" si="255"/>
        <v>#REF!</v>
      </c>
    </row>
    <row r="752" spans="5:14">
      <c r="F752" s="392" t="s">
        <v>1079</v>
      </c>
      <c r="G752" s="377"/>
      <c r="H752" s="377"/>
      <c r="I752" s="377"/>
      <c r="J752" s="381">
        <f>J243+J485+J680</f>
        <v>598.6</v>
      </c>
      <c r="K752" s="381">
        <f>K243+K485+K680</f>
        <v>60.599999999999994</v>
      </c>
      <c r="L752" s="381">
        <f>L243+L485+L680</f>
        <v>659.19999999999993</v>
      </c>
      <c r="M752" s="381" t="e">
        <f>M243+M485+M680</f>
        <v>#REF!</v>
      </c>
      <c r="N752" s="381" t="e">
        <f>N243+N485+N680</f>
        <v>#REF!</v>
      </c>
    </row>
    <row r="753" spans="5:14">
      <c r="F753" s="50" t="s">
        <v>584</v>
      </c>
      <c r="G753" s="202" t="e">
        <f>G243+G488</f>
        <v>#REF!</v>
      </c>
      <c r="H753" s="229" t="e">
        <f>H243+H488</f>
        <v>#REF!</v>
      </c>
      <c r="I753" s="202" t="e">
        <f>I243+I488</f>
        <v>#REF!</v>
      </c>
      <c r="J753" s="641">
        <f>J488</f>
        <v>2599</v>
      </c>
      <c r="K753" s="641">
        <f>K488</f>
        <v>749.63099999999997</v>
      </c>
      <c r="L753" s="641">
        <f>L488</f>
        <v>3348.6309999999999</v>
      </c>
      <c r="M753" s="203" t="e">
        <f>M243+M488</f>
        <v>#REF!</v>
      </c>
      <c r="N753" s="51" t="e">
        <f>N243+N488</f>
        <v>#REF!</v>
      </c>
    </row>
    <row r="754" spans="5:14" hidden="1">
      <c r="F754" s="25" t="s">
        <v>585</v>
      </c>
      <c r="G754" s="222">
        <f t="shared" ref="G754:M754" si="256">G491</f>
        <v>786.5</v>
      </c>
      <c r="H754" s="222">
        <f t="shared" si="256"/>
        <v>0</v>
      </c>
      <c r="I754" s="222">
        <f t="shared" si="256"/>
        <v>0</v>
      </c>
      <c r="J754" s="642">
        <f>J491</f>
        <v>0</v>
      </c>
      <c r="K754" s="488">
        <f t="shared" si="256"/>
        <v>0</v>
      </c>
      <c r="L754" s="488">
        <f t="shared" si="256"/>
        <v>0</v>
      </c>
      <c r="M754" s="223">
        <f t="shared" si="256"/>
        <v>0</v>
      </c>
      <c r="N754" s="220">
        <f>N491</f>
        <v>0</v>
      </c>
    </row>
    <row r="755" spans="5:14" hidden="1">
      <c r="F755" s="221" t="s">
        <v>586</v>
      </c>
      <c r="G755" s="222"/>
      <c r="H755" s="230">
        <f t="shared" ref="H755:N755" si="257">H494</f>
        <v>0</v>
      </c>
      <c r="I755" s="230">
        <f t="shared" si="257"/>
        <v>0</v>
      </c>
      <c r="J755" s="648">
        <f>J494</f>
        <v>0</v>
      </c>
      <c r="K755" s="649">
        <f t="shared" si="257"/>
        <v>0</v>
      </c>
      <c r="L755" s="649">
        <f t="shared" si="257"/>
        <v>0</v>
      </c>
      <c r="M755" s="231">
        <f t="shared" si="257"/>
        <v>0</v>
      </c>
      <c r="N755" s="220">
        <f t="shared" si="257"/>
        <v>0</v>
      </c>
    </row>
    <row r="756" spans="5:14" ht="15.75" thickBot="1">
      <c r="F756" s="212" t="s">
        <v>587</v>
      </c>
      <c r="G756" s="213">
        <f t="shared" ref="G756:N756" si="258">G497+G247</f>
        <v>3300</v>
      </c>
      <c r="H756" s="213">
        <f t="shared" si="258"/>
        <v>2170</v>
      </c>
      <c r="I756" s="213">
        <f t="shared" si="258"/>
        <v>0</v>
      </c>
      <c r="J756" s="643">
        <f t="shared" si="258"/>
        <v>3642.7330000000002</v>
      </c>
      <c r="K756" s="644">
        <f t="shared" si="258"/>
        <v>1668.8309999999999</v>
      </c>
      <c r="L756" s="644">
        <f>L497+L247</f>
        <v>5311.5640000000003</v>
      </c>
      <c r="M756" s="216">
        <f t="shared" si="258"/>
        <v>0</v>
      </c>
      <c r="N756" s="215">
        <f t="shared" si="258"/>
        <v>2400.7950000000001</v>
      </c>
    </row>
    <row r="757" spans="5:14" ht="15.75" thickBot="1">
      <c r="E757" s="11">
        <f>SUM(H758:H761)</f>
        <v>1667</v>
      </c>
      <c r="F757" s="232" t="s">
        <v>28</v>
      </c>
      <c r="G757" s="224">
        <f>G509</f>
        <v>-1048.5</v>
      </c>
      <c r="H757" s="233">
        <f>H509+H256</f>
        <v>1667</v>
      </c>
      <c r="I757" s="233">
        <f>I509+I256</f>
        <v>31353.699999999997</v>
      </c>
      <c r="J757" s="645">
        <f>J758+J759+J760+J761</f>
        <v>25085.641999999996</v>
      </c>
      <c r="K757" s="646">
        <f>K758+K759+K760+K761</f>
        <v>8860.2870000000003</v>
      </c>
      <c r="L757" s="646">
        <f>L758+L759+L760+L761</f>
        <v>33945.928999999996</v>
      </c>
      <c r="M757" s="234">
        <f>M509+M256</f>
        <v>550</v>
      </c>
      <c r="N757" s="234">
        <f>N509+N256</f>
        <v>27926.368999999999</v>
      </c>
    </row>
    <row r="758" spans="5:14">
      <c r="F758" s="50" t="s">
        <v>588</v>
      </c>
      <c r="G758" s="202">
        <f>G511</f>
        <v>-40</v>
      </c>
      <c r="H758" s="235">
        <f>H511+H262</f>
        <v>0</v>
      </c>
      <c r="I758" s="235">
        <f>I511+I262</f>
        <v>31353.699999999997</v>
      </c>
      <c r="J758" s="382">
        <f>J510</f>
        <v>1195.5900000000001</v>
      </c>
      <c r="K758" s="382">
        <f>K510</f>
        <v>124.2</v>
      </c>
      <c r="L758" s="382">
        <f>L510</f>
        <v>1319.7900000000002</v>
      </c>
      <c r="M758" s="236">
        <f>M511+M262</f>
        <v>0</v>
      </c>
      <c r="N758" s="236">
        <f>N511+N262</f>
        <v>1620</v>
      </c>
    </row>
    <row r="759" spans="5:14">
      <c r="F759" s="25" t="s">
        <v>589</v>
      </c>
      <c r="G759" s="204">
        <f t="shared" ref="G759:M759" si="259">G522</f>
        <v>2000</v>
      </c>
      <c r="H759" s="204">
        <f t="shared" si="259"/>
        <v>1667</v>
      </c>
      <c r="I759" s="207">
        <f t="shared" si="259"/>
        <v>0</v>
      </c>
      <c r="J759" s="488">
        <f t="shared" ref="J759:K759" si="260">J522+J257</f>
        <v>21490.051999999996</v>
      </c>
      <c r="K759" s="488">
        <f t="shared" si="260"/>
        <v>8736.0869999999995</v>
      </c>
      <c r="L759" s="488">
        <f>L522+L257</f>
        <v>30226.138999999996</v>
      </c>
      <c r="M759" s="208">
        <f t="shared" si="259"/>
        <v>550</v>
      </c>
      <c r="N759" s="59">
        <f>N522</f>
        <v>25954.978999999999</v>
      </c>
    </row>
    <row r="760" spans="5:14">
      <c r="F760" s="25" t="s">
        <v>590</v>
      </c>
      <c r="G760" s="204">
        <f t="shared" ref="G760:M760" si="261">G557</f>
        <v>-786.5</v>
      </c>
      <c r="H760" s="204">
        <f t="shared" si="261"/>
        <v>0</v>
      </c>
      <c r="I760" s="204">
        <f t="shared" si="261"/>
        <v>0</v>
      </c>
      <c r="J760" s="642">
        <f>J557+J262</f>
        <v>2400</v>
      </c>
      <c r="K760" s="642">
        <f>K557+K262</f>
        <v>0</v>
      </c>
      <c r="L760" s="642">
        <f>L557+L262</f>
        <v>2400</v>
      </c>
      <c r="M760" s="205">
        <f t="shared" si="261"/>
        <v>0</v>
      </c>
      <c r="N760" s="59">
        <f>N557</f>
        <v>280</v>
      </c>
    </row>
    <row r="761" spans="5:14" ht="15.75" thickBot="1">
      <c r="F761" s="212" t="s">
        <v>591</v>
      </c>
      <c r="G761" s="213">
        <f t="shared" ref="G761:M761" si="262">G563</f>
        <v>-2222</v>
      </c>
      <c r="H761" s="213">
        <f t="shared" si="262"/>
        <v>0</v>
      </c>
      <c r="I761" s="213">
        <f t="shared" si="262"/>
        <v>0</v>
      </c>
      <c r="J761" s="643">
        <f>J563</f>
        <v>0</v>
      </c>
      <c r="K761" s="644">
        <f t="shared" si="262"/>
        <v>0</v>
      </c>
      <c r="L761" s="644">
        <f t="shared" si="262"/>
        <v>0</v>
      </c>
      <c r="M761" s="216">
        <f t="shared" si="262"/>
        <v>0</v>
      </c>
      <c r="N761" s="215">
        <f>N563</f>
        <v>0</v>
      </c>
    </row>
    <row r="762" spans="5:14" ht="15.75" thickBot="1">
      <c r="E762" s="108">
        <f>SUM(J763:J767)</f>
        <v>276741.11009000003</v>
      </c>
      <c r="F762" s="197" t="s">
        <v>32</v>
      </c>
      <c r="G762" s="237" t="e">
        <f>G13+G105+G267+G326+G569</f>
        <v>#REF!</v>
      </c>
      <c r="H762" s="237">
        <f>H13+H105+H267+H326+H569</f>
        <v>147822.10999999996</v>
      </c>
      <c r="I762" s="237">
        <f>I13+I105+I267+I326+I569</f>
        <v>0</v>
      </c>
      <c r="J762" s="645">
        <f>J763+J764+J765+J766+J767</f>
        <v>276741.11009000003</v>
      </c>
      <c r="K762" s="646">
        <f>K763+K764+K765+K766+K767</f>
        <v>40143.659</v>
      </c>
      <c r="L762" s="646">
        <f>L763+L764+L765+L766+L767</f>
        <v>316884.76909000002</v>
      </c>
      <c r="M762" s="226">
        <f>M13+M105+M267+M326+M569+M683</f>
        <v>1156.3000000000002</v>
      </c>
      <c r="N762" s="226">
        <f>N13+N105+N267+N326+N569+N683</f>
        <v>101710.66079000001</v>
      </c>
    </row>
    <row r="763" spans="5:14">
      <c r="F763" s="50" t="s">
        <v>592</v>
      </c>
      <c r="G763" s="202">
        <f>G106</f>
        <v>-926.36</v>
      </c>
      <c r="H763" s="235">
        <f t="shared" ref="H763:N763" si="263">H106+H570</f>
        <v>4401</v>
      </c>
      <c r="I763" s="235">
        <f t="shared" si="263"/>
        <v>0</v>
      </c>
      <c r="J763" s="382">
        <f t="shared" si="263"/>
        <v>920.93299999999999</v>
      </c>
      <c r="K763" s="641">
        <f t="shared" si="263"/>
        <v>0</v>
      </c>
      <c r="L763" s="641">
        <f t="shared" si="263"/>
        <v>920.93299999999999</v>
      </c>
      <c r="M763" s="236">
        <f t="shared" si="263"/>
        <v>805.6</v>
      </c>
      <c r="N763" s="236">
        <f t="shared" si="263"/>
        <v>1726.5329999999999</v>
      </c>
    </row>
    <row r="764" spans="5:14">
      <c r="F764" s="25" t="s">
        <v>593</v>
      </c>
      <c r="G764" s="206" t="e">
        <f>G111+#REF!</f>
        <v>#REF!</v>
      </c>
      <c r="H764" s="206">
        <f>H111</f>
        <v>135780.43999999997</v>
      </c>
      <c r="I764" s="206">
        <f>I111</f>
        <v>0</v>
      </c>
      <c r="J764" s="642">
        <f>J111+J574</f>
        <v>264317.57608999999</v>
      </c>
      <c r="K764" s="488">
        <f>K111+K574</f>
        <v>40411.362999999998</v>
      </c>
      <c r="L764" s="488">
        <f>L111+L574</f>
        <v>304728.93909</v>
      </c>
      <c r="M764" s="59">
        <f>M111+M574</f>
        <v>1721.3940000000002</v>
      </c>
      <c r="N764" s="59">
        <f>N111+N574</f>
        <v>65145.926790000012</v>
      </c>
    </row>
    <row r="765" spans="5:14">
      <c r="F765" s="25" t="s">
        <v>594</v>
      </c>
      <c r="G765" s="207" t="e">
        <f t="shared" ref="G765:N765" si="264">G14+G145+G327+G592+G268</f>
        <v>#REF!</v>
      </c>
      <c r="H765" s="206">
        <f t="shared" si="264"/>
        <v>460.3</v>
      </c>
      <c r="I765" s="206">
        <f t="shared" si="264"/>
        <v>0</v>
      </c>
      <c r="J765" s="642">
        <f t="shared" si="264"/>
        <v>796.81</v>
      </c>
      <c r="K765" s="488">
        <f t="shared" si="264"/>
        <v>-328.35</v>
      </c>
      <c r="L765" s="488">
        <f t="shared" si="264"/>
        <v>468.45999999999992</v>
      </c>
      <c r="M765" s="59">
        <f t="shared" si="264"/>
        <v>44.61</v>
      </c>
      <c r="N765" s="59">
        <f t="shared" si="264"/>
        <v>27100.457999999999</v>
      </c>
    </row>
    <row r="766" spans="5:14">
      <c r="F766" s="25" t="s">
        <v>595</v>
      </c>
      <c r="G766" s="204">
        <f>G153+G598</f>
        <v>821</v>
      </c>
      <c r="H766" s="204">
        <f>H153+H598+H333</f>
        <v>665.72</v>
      </c>
      <c r="I766" s="204">
        <f>I153+I598+I333</f>
        <v>0</v>
      </c>
      <c r="J766" s="642">
        <f>J153+J598+J333+J684</f>
        <v>3492.2749999999996</v>
      </c>
      <c r="K766" s="488">
        <f>K153+K598+K333+K684</f>
        <v>2.1649999999999991</v>
      </c>
      <c r="L766" s="488">
        <f>L153+L598+L333+L684</f>
        <v>3494.4399999999996</v>
      </c>
      <c r="M766" s="59">
        <f>M153+M598+M333+M684</f>
        <v>720</v>
      </c>
      <c r="N766" s="59">
        <f>N153+N598+N333+N684</f>
        <v>3563.5</v>
      </c>
    </row>
    <row r="767" spans="5:14" ht="15.75" thickBot="1">
      <c r="F767" s="212" t="s">
        <v>596</v>
      </c>
      <c r="G767" s="213">
        <f t="shared" ref="G767:M767" si="265">G160</f>
        <v>878.1</v>
      </c>
      <c r="H767" s="213">
        <f t="shared" si="265"/>
        <v>6514.65</v>
      </c>
      <c r="I767" s="213">
        <f t="shared" si="265"/>
        <v>0</v>
      </c>
      <c r="J767" s="643">
        <f>J160+J601</f>
        <v>7213.5160000000005</v>
      </c>
      <c r="K767" s="643">
        <f t="shared" ref="K767:L767" si="266">K160+K601</f>
        <v>58.480999999999995</v>
      </c>
      <c r="L767" s="643">
        <f t="shared" si="266"/>
        <v>7271.9970000000003</v>
      </c>
      <c r="M767" s="216">
        <f t="shared" si="265"/>
        <v>-2135.3040000000001</v>
      </c>
      <c r="N767" s="215">
        <f>N160</f>
        <v>4174.2430000000004</v>
      </c>
    </row>
    <row r="768" spans="5:14" ht="15.75" thickBot="1">
      <c r="E768" s="15">
        <f>SUM(J769:J772)</f>
        <v>7280.2824000000001</v>
      </c>
      <c r="F768" s="197" t="s">
        <v>53</v>
      </c>
      <c r="G768" s="224">
        <f>G604+G694</f>
        <v>216.57999999999998</v>
      </c>
      <c r="H768" s="224">
        <f>H604+H694</f>
        <v>6311.15</v>
      </c>
      <c r="I768" s="224">
        <f>I604+I694</f>
        <v>0</v>
      </c>
      <c r="J768" s="645">
        <f>J769+J770+J772+J771</f>
        <v>7280.2824000000001</v>
      </c>
      <c r="K768" s="645">
        <f>K769+K770+K772+K771</f>
        <v>151.43700000000001</v>
      </c>
      <c r="L768" s="645">
        <f>L769+L770+L772+L771</f>
        <v>7431.7194</v>
      </c>
      <c r="M768" s="228">
        <f>M604+M694</f>
        <v>-101</v>
      </c>
      <c r="N768" s="226">
        <f>N604+N694</f>
        <v>4465.6229999999996</v>
      </c>
    </row>
    <row r="769" spans="3:14">
      <c r="F769" s="50" t="s">
        <v>597</v>
      </c>
      <c r="G769" s="202">
        <f>G695</f>
        <v>137.57999999999998</v>
      </c>
      <c r="H769" s="202">
        <f>H695</f>
        <v>3820.25</v>
      </c>
      <c r="I769" s="227">
        <f>I695</f>
        <v>0</v>
      </c>
      <c r="J769" s="641">
        <f>J695+J605+J275</f>
        <v>5038.4920000000002</v>
      </c>
      <c r="K769" s="641">
        <f>K695+K605+K275</f>
        <v>48.010999999999996</v>
      </c>
      <c r="L769" s="641">
        <f>L695+L605+L275</f>
        <v>5086.5029999999997</v>
      </c>
      <c r="M769" s="51">
        <f>M695+M605</f>
        <v>51</v>
      </c>
      <c r="N769" s="51">
        <f>N695+N605</f>
        <v>4617.6229999999996</v>
      </c>
    </row>
    <row r="770" spans="3:14">
      <c r="F770" s="209" t="s">
        <v>598</v>
      </c>
      <c r="G770" s="210">
        <f t="shared" ref="G770:M770" si="267">G611</f>
        <v>0</v>
      </c>
      <c r="H770" s="211">
        <f t="shared" si="267"/>
        <v>666</v>
      </c>
      <c r="I770" s="211">
        <f t="shared" si="267"/>
        <v>0</v>
      </c>
      <c r="J770" s="624">
        <f>J611</f>
        <v>0</v>
      </c>
      <c r="K770" s="624">
        <f>K611</f>
        <v>0</v>
      </c>
      <c r="L770" s="624">
        <f>L611</f>
        <v>0</v>
      </c>
      <c r="M770" s="59">
        <f t="shared" si="267"/>
        <v>20</v>
      </c>
      <c r="N770" s="59">
        <f>N611</f>
        <v>20</v>
      </c>
    </row>
    <row r="771" spans="3:14">
      <c r="F771" s="238" t="s">
        <v>598</v>
      </c>
      <c r="G771" s="239"/>
      <c r="H771" s="240"/>
      <c r="I771" s="240"/>
      <c r="J771" s="651">
        <f>J712+J615</f>
        <v>2241.7903999999999</v>
      </c>
      <c r="K771" s="651">
        <f>K712+K615</f>
        <v>103.426</v>
      </c>
      <c r="L771" s="651">
        <f>L712+L615</f>
        <v>2345.2164000000002</v>
      </c>
      <c r="M771" s="215"/>
      <c r="N771" s="215"/>
    </row>
    <row r="772" spans="3:14" ht="15.75" thickBot="1">
      <c r="F772" s="212" t="s">
        <v>599</v>
      </c>
      <c r="G772" s="213">
        <f t="shared" ref="G772:N772" si="268">G716+G619</f>
        <v>79</v>
      </c>
      <c r="H772" s="214">
        <f t="shared" si="268"/>
        <v>1824.9</v>
      </c>
      <c r="I772" s="214">
        <f t="shared" si="268"/>
        <v>0</v>
      </c>
      <c r="J772" s="643">
        <f t="shared" si="268"/>
        <v>0</v>
      </c>
      <c r="K772" s="644">
        <f t="shared" si="268"/>
        <v>0</v>
      </c>
      <c r="L772" s="644">
        <f t="shared" si="268"/>
        <v>0</v>
      </c>
      <c r="M772" s="215">
        <f t="shared" si="268"/>
        <v>-172</v>
      </c>
      <c r="N772" s="215">
        <f t="shared" si="268"/>
        <v>-172</v>
      </c>
    </row>
    <row r="773" spans="3:14" ht="15.75" thickBot="1">
      <c r="E773" s="11" t="e">
        <f>SUM(H774:H779)</f>
        <v>#REF!</v>
      </c>
      <c r="F773" s="197" t="s">
        <v>47</v>
      </c>
      <c r="G773" s="224" t="e">
        <f>G20+G623</f>
        <v>#REF!</v>
      </c>
      <c r="H773" s="237" t="e">
        <f>H20+H623+H720</f>
        <v>#REF!</v>
      </c>
      <c r="I773" s="237" t="e">
        <f>I20+I623+I720</f>
        <v>#REF!</v>
      </c>
      <c r="J773" s="645">
        <f>J774+J775+J776+J777+J778+J779</f>
        <v>106631.49857</v>
      </c>
      <c r="K773" s="646">
        <f>K774+K775+K776+K777+K778+K779</f>
        <v>850.53611999999976</v>
      </c>
      <c r="L773" s="646">
        <f>L774+L775+L776+L777+L778+L779</f>
        <v>107482.03468999999</v>
      </c>
      <c r="M773" s="241" t="e">
        <f>M20+M623+M720</f>
        <v>#REF!</v>
      </c>
      <c r="N773" s="226" t="e">
        <f>N20+N623+N720</f>
        <v>#REF!</v>
      </c>
    </row>
    <row r="774" spans="3:14">
      <c r="F774" s="50" t="s">
        <v>600</v>
      </c>
      <c r="G774" s="382" t="e">
        <f t="shared" ref="G774:L774" si="269">G21+G283+G624</f>
        <v>#REF!</v>
      </c>
      <c r="H774" s="382" t="e">
        <f t="shared" si="269"/>
        <v>#REF!</v>
      </c>
      <c r="I774" s="382" t="e">
        <f t="shared" si="269"/>
        <v>#REF!</v>
      </c>
      <c r="J774" s="382">
        <f t="shared" si="269"/>
        <v>99770.798569999999</v>
      </c>
      <c r="K774" s="382">
        <f t="shared" si="269"/>
        <v>1027.0721199999998</v>
      </c>
      <c r="L774" s="382">
        <f t="shared" si="269"/>
        <v>100797.87069</v>
      </c>
      <c r="M774" s="203">
        <f>M21</f>
        <v>-1006.6600000000001</v>
      </c>
      <c r="N774" s="51">
        <f>N21</f>
        <v>11268.126</v>
      </c>
    </row>
    <row r="775" spans="3:14">
      <c r="F775" s="25" t="s">
        <v>601</v>
      </c>
      <c r="G775" s="204" t="e">
        <f>G40+G624</f>
        <v>#REF!</v>
      </c>
      <c r="H775" s="204" t="e">
        <f>H40+H624</f>
        <v>#REF!</v>
      </c>
      <c r="I775" s="204" t="e">
        <f>I40+I624</f>
        <v>#REF!</v>
      </c>
      <c r="J775" s="488">
        <f>J40</f>
        <v>5310.8</v>
      </c>
      <c r="K775" s="488">
        <f>K40</f>
        <v>-176.536</v>
      </c>
      <c r="L775" s="488">
        <f>L40</f>
        <v>5134.2640000000001</v>
      </c>
      <c r="M775" s="205" t="e">
        <f>M40+M624</f>
        <v>#REF!</v>
      </c>
      <c r="N775" s="59" t="e">
        <f>N40+N624</f>
        <v>#REF!</v>
      </c>
    </row>
    <row r="776" spans="3:14">
      <c r="F776" s="25" t="s">
        <v>602</v>
      </c>
      <c r="G776" s="204">
        <f t="shared" ref="G776:M776" si="270">G60</f>
        <v>2852</v>
      </c>
      <c r="H776" s="204">
        <f t="shared" si="270"/>
        <v>0</v>
      </c>
      <c r="I776" s="204">
        <f t="shared" si="270"/>
        <v>0</v>
      </c>
      <c r="J776" s="642">
        <f>J60</f>
        <v>749.9</v>
      </c>
      <c r="K776" s="488">
        <f t="shared" si="270"/>
        <v>0</v>
      </c>
      <c r="L776" s="488">
        <f t="shared" si="270"/>
        <v>749.9</v>
      </c>
      <c r="M776" s="205">
        <f t="shared" si="270"/>
        <v>-1.8800000000000026</v>
      </c>
      <c r="N776" s="59">
        <f>N60</f>
        <v>748.02</v>
      </c>
    </row>
    <row r="777" spans="3:14">
      <c r="C777" s="11" t="s">
        <v>603</v>
      </c>
      <c r="F777" s="209" t="s">
        <v>604</v>
      </c>
      <c r="G777" s="210">
        <f>G631</f>
        <v>0</v>
      </c>
      <c r="H777" s="210">
        <f t="shared" ref="H777:N777" si="271">H631+H721</f>
        <v>628.79999999999995</v>
      </c>
      <c r="I777" s="210">
        <f t="shared" si="271"/>
        <v>0</v>
      </c>
      <c r="J777" s="624">
        <f t="shared" si="271"/>
        <v>0</v>
      </c>
      <c r="K777" s="625">
        <f t="shared" si="271"/>
        <v>0</v>
      </c>
      <c r="L777" s="625">
        <f t="shared" si="271"/>
        <v>0</v>
      </c>
      <c r="M777" s="205">
        <f t="shared" si="271"/>
        <v>80</v>
      </c>
      <c r="N777" s="59">
        <f t="shared" si="271"/>
        <v>80</v>
      </c>
    </row>
    <row r="778" spans="3:14">
      <c r="F778" s="238" t="s">
        <v>605</v>
      </c>
      <c r="G778" s="239"/>
      <c r="H778" s="239"/>
      <c r="I778" s="239"/>
      <c r="J778" s="651">
        <f>J65</f>
        <v>800</v>
      </c>
      <c r="K778" s="651">
        <f>K65</f>
        <v>0</v>
      </c>
      <c r="L778" s="651">
        <f>L65</f>
        <v>800</v>
      </c>
      <c r="M778" s="216"/>
      <c r="N778" s="215"/>
    </row>
    <row r="779" spans="3:14" ht="15.75" thickBot="1">
      <c r="F779" s="212" t="s">
        <v>606</v>
      </c>
      <c r="G779" s="213">
        <f t="shared" ref="G779:M779" si="272">G83</f>
        <v>0</v>
      </c>
      <c r="H779" s="213">
        <f t="shared" si="272"/>
        <v>1049.6600000000001</v>
      </c>
      <c r="I779" s="213">
        <f t="shared" si="272"/>
        <v>0</v>
      </c>
      <c r="J779" s="643">
        <f>J83</f>
        <v>0</v>
      </c>
      <c r="K779" s="644">
        <f t="shared" si="272"/>
        <v>0</v>
      </c>
      <c r="L779" s="644">
        <f t="shared" si="272"/>
        <v>0</v>
      </c>
      <c r="M779" s="216">
        <f t="shared" si="272"/>
        <v>33</v>
      </c>
      <c r="N779" s="215">
        <f>N83</f>
        <v>33</v>
      </c>
    </row>
    <row r="780" spans="3:14" ht="15.75" thickBot="1">
      <c r="E780" s="11">
        <f>SUM(H781:H785)</f>
        <v>53413.100000000006</v>
      </c>
      <c r="F780" s="197" t="s">
        <v>85</v>
      </c>
      <c r="G780" s="224" t="e">
        <f>G174+G337+G635</f>
        <v>#REF!</v>
      </c>
      <c r="H780" s="242">
        <f>H174+H337+H635</f>
        <v>53413.100000000006</v>
      </c>
      <c r="I780" s="242">
        <f>I174+I337+I635</f>
        <v>0</v>
      </c>
      <c r="J780" s="645">
        <f>J781+J782+J783+J784+J785</f>
        <v>79634.897999999986</v>
      </c>
      <c r="K780" s="646">
        <f>K781+K782+K783+K784+K785</f>
        <v>8524.2160000000003</v>
      </c>
      <c r="L780" s="646">
        <f>L781+L782+L783+L784+L785</f>
        <v>88159.113999999987</v>
      </c>
      <c r="M780" s="226">
        <f>M174+M337+M635</f>
        <v>225.5</v>
      </c>
      <c r="N780" s="226">
        <f>N174+N337+N635</f>
        <v>56175.376000000004</v>
      </c>
    </row>
    <row r="781" spans="3:14">
      <c r="F781" s="50" t="s">
        <v>607</v>
      </c>
      <c r="G781" s="202" t="e">
        <f t="shared" ref="G781:M781" si="273">G338</f>
        <v>#REF!</v>
      </c>
      <c r="H781" s="202">
        <f t="shared" si="273"/>
        <v>1925.2</v>
      </c>
      <c r="I781" s="202">
        <f t="shared" si="273"/>
        <v>0</v>
      </c>
      <c r="J781" s="382">
        <f>J338</f>
        <v>1593.18</v>
      </c>
      <c r="K781" s="641">
        <f t="shared" si="273"/>
        <v>0</v>
      </c>
      <c r="L781" s="641">
        <f t="shared" si="273"/>
        <v>1593.18</v>
      </c>
      <c r="M781" s="203">
        <f t="shared" si="273"/>
        <v>0</v>
      </c>
      <c r="N781" s="51">
        <f>N338</f>
        <v>83.18</v>
      </c>
    </row>
    <row r="782" spans="3:14">
      <c r="F782" s="25" t="s">
        <v>608</v>
      </c>
      <c r="G782" s="204">
        <f>G345</f>
        <v>6</v>
      </c>
      <c r="H782" s="204">
        <f>H345</f>
        <v>4331.8999999999996</v>
      </c>
      <c r="I782" s="204">
        <f>I345</f>
        <v>0</v>
      </c>
      <c r="J782" s="488">
        <f>J345+J636</f>
        <v>8128.76</v>
      </c>
      <c r="K782" s="488">
        <f>K345+K636</f>
        <v>526.24300000000005</v>
      </c>
      <c r="L782" s="488">
        <f>L345+L636</f>
        <v>8655.0030000000006</v>
      </c>
      <c r="M782" s="205">
        <f>M345</f>
        <v>182.5</v>
      </c>
      <c r="N782" s="59">
        <f>N345</f>
        <v>8262.0600000000013</v>
      </c>
    </row>
    <row r="783" spans="3:14">
      <c r="F783" s="25" t="s">
        <v>609</v>
      </c>
      <c r="G783" s="204">
        <f t="shared" ref="G783:N783" si="274">G639+G355+G175</f>
        <v>-3704.64707</v>
      </c>
      <c r="H783" s="204">
        <f t="shared" si="274"/>
        <v>37803.100000000006</v>
      </c>
      <c r="I783" s="204">
        <f t="shared" si="274"/>
        <v>0</v>
      </c>
      <c r="J783" s="642">
        <f t="shared" si="274"/>
        <v>51725.827999999994</v>
      </c>
      <c r="K783" s="488">
        <f t="shared" si="274"/>
        <v>2067.473</v>
      </c>
      <c r="L783" s="488">
        <f t="shared" si="274"/>
        <v>53793.300999999992</v>
      </c>
      <c r="M783" s="59">
        <f t="shared" si="274"/>
        <v>212</v>
      </c>
      <c r="N783" s="59">
        <f t="shared" si="274"/>
        <v>36659.085999999996</v>
      </c>
    </row>
    <row r="784" spans="3:14">
      <c r="F784" s="212" t="s">
        <v>610</v>
      </c>
      <c r="G784" s="213">
        <f t="shared" ref="G784:M784" si="275">G179</f>
        <v>5261.5429699999995</v>
      </c>
      <c r="H784" s="213">
        <f t="shared" si="275"/>
        <v>8194.8000000000011</v>
      </c>
      <c r="I784" s="213">
        <f t="shared" si="275"/>
        <v>0</v>
      </c>
      <c r="J784" s="643">
        <f>J179</f>
        <v>16193.199999999999</v>
      </c>
      <c r="K784" s="644">
        <f t="shared" si="275"/>
        <v>6006.5</v>
      </c>
      <c r="L784" s="644">
        <f t="shared" si="275"/>
        <v>22199.699999999997</v>
      </c>
      <c r="M784" s="216">
        <f t="shared" si="275"/>
        <v>0</v>
      </c>
      <c r="N784" s="215">
        <f>N179</f>
        <v>9621.2999999999993</v>
      </c>
    </row>
    <row r="785" spans="5:14" ht="15.75" thickBot="1">
      <c r="F785" s="212" t="s">
        <v>611</v>
      </c>
      <c r="G785" s="213">
        <f t="shared" ref="G785:M785" si="276">G407</f>
        <v>75</v>
      </c>
      <c r="H785" s="213">
        <f t="shared" si="276"/>
        <v>1158.1000000000001</v>
      </c>
      <c r="I785" s="213">
        <f t="shared" si="276"/>
        <v>0</v>
      </c>
      <c r="J785" s="643">
        <f>J407</f>
        <v>1993.93</v>
      </c>
      <c r="K785" s="644">
        <f t="shared" si="276"/>
        <v>-76</v>
      </c>
      <c r="L785" s="644">
        <f t="shared" si="276"/>
        <v>1917.93</v>
      </c>
      <c r="M785" s="216">
        <f t="shared" si="276"/>
        <v>-169</v>
      </c>
      <c r="N785" s="215">
        <f>N407</f>
        <v>1549.75</v>
      </c>
    </row>
    <row r="786" spans="5:14" ht="15.75" thickBot="1">
      <c r="E786" s="11" t="e">
        <f>SUM(H787:H790)</f>
        <v>#REF!</v>
      </c>
      <c r="F786" s="197" t="s">
        <v>34</v>
      </c>
      <c r="G786" s="224" t="e">
        <f t="shared" ref="G786:I787" si="277">G286</f>
        <v>#REF!</v>
      </c>
      <c r="H786" s="224" t="e">
        <f t="shared" si="277"/>
        <v>#REF!</v>
      </c>
      <c r="I786" s="224" t="e">
        <f t="shared" si="277"/>
        <v>#REF!</v>
      </c>
      <c r="J786" s="645">
        <f>J787+J788+J789+J790</f>
        <v>0</v>
      </c>
      <c r="K786" s="646">
        <f>K787+K788+K789+K790</f>
        <v>0</v>
      </c>
      <c r="L786" s="646">
        <f>L787+L788+L789+L790</f>
        <v>0</v>
      </c>
      <c r="M786" s="228" t="e">
        <f>M286</f>
        <v>#REF!</v>
      </c>
      <c r="N786" s="226" t="e">
        <f>N286</f>
        <v>#REF!</v>
      </c>
    </row>
    <row r="787" spans="5:14" hidden="1">
      <c r="F787" s="50" t="s">
        <v>612</v>
      </c>
      <c r="G787" s="202">
        <f t="shared" si="277"/>
        <v>264</v>
      </c>
      <c r="H787" s="202">
        <f t="shared" si="277"/>
        <v>20914.8</v>
      </c>
      <c r="I787" s="202">
        <f t="shared" si="277"/>
        <v>0</v>
      </c>
      <c r="J787" s="382"/>
      <c r="K787" s="641"/>
      <c r="L787" s="641"/>
      <c r="M787" s="203">
        <f>M287</f>
        <v>8.4</v>
      </c>
      <c r="N787" s="51">
        <f>N287</f>
        <v>87.844000000000008</v>
      </c>
    </row>
    <row r="788" spans="5:14" hidden="1">
      <c r="F788" s="25" t="s">
        <v>613</v>
      </c>
      <c r="G788" s="204">
        <f t="shared" ref="G788:M788" si="278">G292</f>
        <v>0</v>
      </c>
      <c r="H788" s="204">
        <f t="shared" si="278"/>
        <v>9363.7999999999993</v>
      </c>
      <c r="I788" s="204">
        <f t="shared" si="278"/>
        <v>0</v>
      </c>
      <c r="J788" s="642"/>
      <c r="K788" s="488"/>
      <c r="L788" s="488"/>
      <c r="M788" s="205">
        <f t="shared" si="278"/>
        <v>-768</v>
      </c>
      <c r="N788" s="59">
        <f>N292</f>
        <v>-768</v>
      </c>
    </row>
    <row r="789" spans="5:14" hidden="1">
      <c r="F789" s="25" t="s">
        <v>614</v>
      </c>
      <c r="G789" s="204">
        <f t="shared" ref="G789:M789" si="279">G300</f>
        <v>42.8</v>
      </c>
      <c r="H789" s="204">
        <f t="shared" si="279"/>
        <v>573.70000000000005</v>
      </c>
      <c r="I789" s="204">
        <f t="shared" si="279"/>
        <v>0</v>
      </c>
      <c r="J789" s="642"/>
      <c r="K789" s="488"/>
      <c r="L789" s="488"/>
      <c r="M789" s="205">
        <f t="shared" si="279"/>
        <v>0</v>
      </c>
      <c r="N789" s="59">
        <f>N300</f>
        <v>0</v>
      </c>
    </row>
    <row r="790" spans="5:14" ht="15.75" hidden="1" thickBot="1">
      <c r="F790" s="222">
        <v>1104</v>
      </c>
      <c r="G790" s="222" t="e">
        <f t="shared" ref="G790:M790" si="280">G305</f>
        <v>#REF!</v>
      </c>
      <c r="H790" s="222" t="e">
        <f t="shared" si="280"/>
        <v>#REF!</v>
      </c>
      <c r="I790" s="222" t="e">
        <f t="shared" si="280"/>
        <v>#REF!</v>
      </c>
      <c r="J790" s="648"/>
      <c r="K790" s="649"/>
      <c r="L790" s="649"/>
      <c r="M790" s="223" t="e">
        <f t="shared" si="280"/>
        <v>#REF!</v>
      </c>
      <c r="N790" s="220" t="e">
        <f>N305</f>
        <v>#REF!</v>
      </c>
    </row>
    <row r="791" spans="5:14" ht="15.75" thickBot="1">
      <c r="F791" s="243">
        <v>11</v>
      </c>
      <c r="G791" s="224"/>
      <c r="H791" s="224"/>
      <c r="I791" s="224"/>
      <c r="J791" s="645">
        <f>J792</f>
        <v>1347.183</v>
      </c>
      <c r="K791" s="645">
        <f>K792</f>
        <v>11</v>
      </c>
      <c r="L791" s="652">
        <f>L792</f>
        <v>1358.183</v>
      </c>
      <c r="M791" s="219"/>
      <c r="N791" s="220"/>
    </row>
    <row r="792" spans="5:14" ht="15.75" thickBot="1">
      <c r="F792" s="222">
        <v>1101</v>
      </c>
      <c r="G792" s="222"/>
      <c r="H792" s="222"/>
      <c r="I792" s="222"/>
      <c r="J792" s="648">
        <f>J726+J287</f>
        <v>1347.183</v>
      </c>
      <c r="K792" s="648">
        <f>K726+K287</f>
        <v>11</v>
      </c>
      <c r="L792" s="648">
        <f>L726+L287</f>
        <v>1358.183</v>
      </c>
      <c r="M792" s="219"/>
      <c r="N792" s="220"/>
    </row>
    <row r="793" spans="5:14" ht="15.75" thickBot="1">
      <c r="F793" s="244">
        <v>12</v>
      </c>
      <c r="G793" s="224"/>
      <c r="H793" s="224"/>
      <c r="I793" s="224"/>
      <c r="J793" s="645">
        <f>J794+J795+J796+J797</f>
        <v>955.1</v>
      </c>
      <c r="K793" s="645">
        <f>K794+K795+K796+K797</f>
        <v>11.621</v>
      </c>
      <c r="L793" s="652">
        <f>L794+L795+L796+L797</f>
        <v>966.721</v>
      </c>
      <c r="M793" s="219"/>
      <c r="N793" s="220"/>
    </row>
    <row r="794" spans="5:14" hidden="1">
      <c r="F794" s="202">
        <v>1201</v>
      </c>
      <c r="G794" s="202"/>
      <c r="H794" s="202"/>
      <c r="I794" s="202"/>
      <c r="J794" s="382"/>
      <c r="K794" s="641"/>
      <c r="L794" s="641"/>
      <c r="M794" s="223"/>
      <c r="N794" s="220"/>
    </row>
    <row r="795" spans="5:14" ht="15.75" thickBot="1">
      <c r="F795" s="204">
        <v>1202</v>
      </c>
      <c r="G795" s="204"/>
      <c r="H795" s="204"/>
      <c r="I795" s="204"/>
      <c r="J795" s="642">
        <f>J669</f>
        <v>955.1</v>
      </c>
      <c r="K795" s="642">
        <f>K669</f>
        <v>11.621</v>
      </c>
      <c r="L795" s="642">
        <f>L669</f>
        <v>966.721</v>
      </c>
      <c r="M795" s="223"/>
      <c r="N795" s="220"/>
    </row>
    <row r="796" spans="5:14" hidden="1">
      <c r="F796" s="204">
        <v>1203</v>
      </c>
      <c r="G796" s="204"/>
      <c r="H796" s="204"/>
      <c r="I796" s="204"/>
      <c r="J796" s="642"/>
      <c r="K796" s="488"/>
      <c r="L796" s="488"/>
      <c r="M796" s="223"/>
      <c r="N796" s="220"/>
    </row>
    <row r="797" spans="5:14" ht="15.75" hidden="1" thickBot="1">
      <c r="F797" s="213">
        <v>1204</v>
      </c>
      <c r="G797" s="213"/>
      <c r="H797" s="213"/>
      <c r="I797" s="213"/>
      <c r="J797" s="643"/>
      <c r="K797" s="644"/>
      <c r="L797" s="644"/>
      <c r="M797" s="223"/>
      <c r="N797" s="220"/>
    </row>
    <row r="798" spans="5:14" ht="15.75" thickBot="1">
      <c r="F798" s="244">
        <v>13</v>
      </c>
      <c r="G798" s="224"/>
      <c r="H798" s="224"/>
      <c r="I798" s="224"/>
      <c r="J798" s="645">
        <f>J799+J800</f>
        <v>162.07</v>
      </c>
      <c r="K798" s="645">
        <f>K799+K800</f>
        <v>0</v>
      </c>
      <c r="L798" s="645">
        <f>L799+L800</f>
        <v>162.07</v>
      </c>
      <c r="M798" s="219"/>
      <c r="N798" s="220"/>
    </row>
    <row r="799" spans="5:14">
      <c r="F799" s="202">
        <v>1301</v>
      </c>
      <c r="G799" s="202"/>
      <c r="H799" s="202"/>
      <c r="I799" s="202"/>
      <c r="J799" s="382">
        <f>J305</f>
        <v>162.07</v>
      </c>
      <c r="K799" s="382">
        <f>K305</f>
        <v>0</v>
      </c>
      <c r="L799" s="382">
        <f>L305</f>
        <v>162.07</v>
      </c>
      <c r="M799" s="223"/>
      <c r="N799" s="220"/>
    </row>
    <row r="800" spans="5:14" ht="15.75" thickBot="1">
      <c r="F800" s="213">
        <v>1302</v>
      </c>
      <c r="G800" s="213"/>
      <c r="H800" s="213"/>
      <c r="I800" s="213"/>
      <c r="J800" s="643"/>
      <c r="K800" s="644"/>
      <c r="L800" s="644"/>
      <c r="M800" s="223"/>
      <c r="N800" s="220"/>
    </row>
    <row r="801" spans="6:14" ht="15.75" thickBot="1">
      <c r="F801" s="244">
        <v>14</v>
      </c>
      <c r="G801" s="224"/>
      <c r="H801" s="224"/>
      <c r="I801" s="224"/>
      <c r="J801" s="645">
        <f>J802+J803+J804</f>
        <v>33917.269999999997</v>
      </c>
      <c r="K801" s="645">
        <f>K802+K803+K804</f>
        <v>783.726</v>
      </c>
      <c r="L801" s="645">
        <f>L802+L803+L804</f>
        <v>34700.995999999999</v>
      </c>
      <c r="M801" s="219"/>
      <c r="N801" s="220"/>
    </row>
    <row r="802" spans="6:14">
      <c r="F802" s="202">
        <v>1401</v>
      </c>
      <c r="G802" s="202"/>
      <c r="H802" s="202"/>
      <c r="I802" s="202"/>
      <c r="J802" s="382">
        <f>J309</f>
        <v>25131.67</v>
      </c>
      <c r="K802" s="382">
        <f>K309</f>
        <v>0</v>
      </c>
      <c r="L802" s="382">
        <f>L309</f>
        <v>25131.67</v>
      </c>
      <c r="M802" s="223"/>
      <c r="N802" s="220"/>
    </row>
    <row r="803" spans="6:14" hidden="1">
      <c r="F803" s="204">
        <v>1402</v>
      </c>
      <c r="G803" s="204"/>
      <c r="H803" s="204"/>
      <c r="I803" s="204"/>
      <c r="J803" s="642"/>
      <c r="K803" s="488"/>
      <c r="L803" s="488"/>
      <c r="M803" s="223"/>
      <c r="N803" s="220"/>
    </row>
    <row r="804" spans="6:14" ht="15.75" thickBot="1">
      <c r="F804" s="213">
        <v>1403</v>
      </c>
      <c r="G804" s="213"/>
      <c r="H804" s="213"/>
      <c r="I804" s="213"/>
      <c r="J804" s="643">
        <f>J317</f>
        <v>8785.6</v>
      </c>
      <c r="K804" s="643">
        <f>K317</f>
        <v>783.726</v>
      </c>
      <c r="L804" s="643">
        <f>L317</f>
        <v>9569.3260000000009</v>
      </c>
      <c r="M804" s="223"/>
      <c r="N804" s="220"/>
    </row>
    <row r="805" spans="6:14" ht="15.75" thickBot="1">
      <c r="F805" s="245" t="s">
        <v>615</v>
      </c>
      <c r="G805" s="237" t="e">
        <f>G733+G747+G751+G757+G762+G768+G773+G780+G786</f>
        <v>#REF!</v>
      </c>
      <c r="H805" s="237" t="e">
        <f>H733+H747+H751+H757+H762+H768+H773+H780+H786</f>
        <v>#REF!</v>
      </c>
      <c r="I805" s="237" t="e">
        <f>I733+I747+I751+I757+I762+I768+I773+I780+I786</f>
        <v>#REF!</v>
      </c>
      <c r="J805" s="653">
        <f>J733+J747+J751+J757+J762+J768+J773+J780+J786+J793+J798+J801+J791+J745</f>
        <v>565510.98298999993</v>
      </c>
      <c r="K805" s="653">
        <f>K733+K747+K751+K757+K762+K768+K773+K780+K786+K793+K798+K801+K791+K745</f>
        <v>61254.738119999995</v>
      </c>
      <c r="L805" s="653">
        <f>L733+L747+L751+L757+L762+L768+L773+L780+L786+L793+L798+L801+L791+L745</f>
        <v>626765.72110999993</v>
      </c>
      <c r="M805" s="242" t="e">
        <f>M733+M747+M751+M757+M762+M768+M773+M780+M786+M793+M798+M801+M791</f>
        <v>#REF!</v>
      </c>
      <c r="N805" s="242" t="e">
        <f>N733+N747+N751+N757+N762+N768+N773+N780+N786+N793+N798+N801+N791</f>
        <v>#REF!</v>
      </c>
    </row>
    <row r="806" spans="6:14">
      <c r="F806" s="246"/>
      <c r="G806" s="113"/>
      <c r="I806" s="113"/>
      <c r="J806" s="156">
        <f>J805-J730</f>
        <v>0</v>
      </c>
      <c r="K806" s="654"/>
      <c r="M806" s="247"/>
    </row>
    <row r="807" spans="6:14">
      <c r="F807" s="246"/>
      <c r="G807" s="113"/>
      <c r="I807" s="113"/>
      <c r="K807" s="654">
        <f>K805-K730</f>
        <v>0</v>
      </c>
      <c r="M807" s="247"/>
    </row>
    <row r="808" spans="6:14">
      <c r="F808" s="246"/>
      <c r="G808" s="113"/>
      <c r="I808" s="113"/>
      <c r="K808" s="654"/>
      <c r="M808" s="247"/>
    </row>
    <row r="809" spans="6:14">
      <c r="F809" s="246"/>
      <c r="G809" s="113"/>
      <c r="I809" s="113"/>
      <c r="K809" s="654"/>
      <c r="M809" s="247"/>
    </row>
    <row r="810" spans="6:14">
      <c r="F810" s="246"/>
      <c r="G810" s="113"/>
      <c r="I810" s="113"/>
      <c r="K810" s="654"/>
      <c r="M810" s="247"/>
    </row>
    <row r="811" spans="6:14">
      <c r="F811" s="246"/>
      <c r="G811" s="113"/>
      <c r="I811" s="113"/>
      <c r="K811" s="654"/>
      <c r="M811" s="247"/>
    </row>
    <row r="812" spans="6:14">
      <c r="F812" s="246"/>
      <c r="G812" s="113"/>
      <c r="I812" s="113"/>
      <c r="K812" s="654"/>
      <c r="M812" s="247"/>
      <c r="N812" s="11"/>
    </row>
    <row r="813" spans="6:14">
      <c r="G813" s="113"/>
      <c r="I813" s="113"/>
      <c r="K813" s="654"/>
      <c r="M813" s="247"/>
      <c r="N813" s="11"/>
    </row>
    <row r="814" spans="6:14">
      <c r="G814" s="113"/>
      <c r="I814" s="113"/>
      <c r="K814" s="654"/>
      <c r="M814" s="247"/>
      <c r="N814" s="11"/>
    </row>
    <row r="815" spans="6:14">
      <c r="G815" s="113"/>
      <c r="I815" s="113"/>
      <c r="K815" s="654"/>
      <c r="M815" s="247"/>
      <c r="N815" s="11"/>
    </row>
    <row r="816" spans="6:14">
      <c r="G816" s="113"/>
      <c r="I816" s="113"/>
      <c r="K816" s="654"/>
      <c r="M816" s="247"/>
      <c r="N816" s="11"/>
    </row>
    <row r="817" spans="7:14">
      <c r="G817" s="113"/>
      <c r="I817" s="113"/>
      <c r="K817" s="654"/>
      <c r="M817" s="247"/>
      <c r="N817" s="11"/>
    </row>
    <row r="818" spans="7:14">
      <c r="G818" s="113"/>
      <c r="I818" s="113"/>
      <c r="K818" s="654"/>
      <c r="M818" s="247"/>
      <c r="N818" s="11"/>
    </row>
    <row r="819" spans="7:14">
      <c r="G819" s="113"/>
      <c r="I819" s="113"/>
      <c r="K819" s="654"/>
      <c r="M819" s="247"/>
      <c r="N819" s="11"/>
    </row>
    <row r="820" spans="7:14">
      <c r="G820" s="113"/>
      <c r="I820" s="113"/>
      <c r="K820" s="654"/>
      <c r="M820" s="247"/>
      <c r="N820" s="11"/>
    </row>
    <row r="821" spans="7:14">
      <c r="G821" s="113"/>
      <c r="I821" s="113"/>
      <c r="K821" s="654"/>
      <c r="M821" s="247"/>
      <c r="N821" s="11"/>
    </row>
    <row r="822" spans="7:14">
      <c r="G822" s="113"/>
      <c r="I822" s="113"/>
      <c r="K822" s="654"/>
      <c r="M822" s="247"/>
      <c r="N822" s="11"/>
    </row>
    <row r="823" spans="7:14">
      <c r="G823" s="113"/>
      <c r="I823" s="113"/>
      <c r="K823" s="654"/>
      <c r="M823" s="247"/>
      <c r="N823" s="11"/>
    </row>
    <row r="824" spans="7:14">
      <c r="G824" s="113"/>
      <c r="I824" s="113"/>
      <c r="K824" s="654"/>
      <c r="M824" s="247"/>
      <c r="N824" s="11"/>
    </row>
    <row r="825" spans="7:14">
      <c r="G825" s="113"/>
      <c r="I825" s="113"/>
      <c r="K825" s="654"/>
      <c r="M825" s="247"/>
      <c r="N825" s="11"/>
    </row>
    <row r="826" spans="7:14">
      <c r="G826" s="113"/>
      <c r="I826" s="113"/>
      <c r="K826" s="654"/>
      <c r="M826" s="247"/>
      <c r="N826" s="11"/>
    </row>
    <row r="827" spans="7:14">
      <c r="G827" s="113"/>
      <c r="I827" s="113"/>
      <c r="K827" s="654"/>
      <c r="M827" s="247"/>
      <c r="N827" s="11"/>
    </row>
    <row r="828" spans="7:14">
      <c r="G828" s="113"/>
      <c r="I828" s="113"/>
      <c r="K828" s="654"/>
      <c r="M828" s="247"/>
      <c r="N828" s="11"/>
    </row>
    <row r="829" spans="7:14">
      <c r="G829" s="113"/>
      <c r="I829" s="113"/>
      <c r="K829" s="654"/>
      <c r="M829" s="247"/>
      <c r="N829" s="11"/>
    </row>
    <row r="830" spans="7:14">
      <c r="G830" s="113"/>
      <c r="I830" s="113"/>
      <c r="K830" s="654"/>
      <c r="M830" s="247"/>
      <c r="N830" s="11"/>
    </row>
    <row r="831" spans="7:14">
      <c r="G831" s="113"/>
      <c r="I831" s="113"/>
      <c r="K831" s="654"/>
      <c r="M831" s="247"/>
      <c r="N831" s="11"/>
    </row>
    <row r="832" spans="7:14">
      <c r="G832" s="113"/>
      <c r="I832" s="113"/>
      <c r="K832" s="654"/>
      <c r="M832" s="247"/>
      <c r="N832" s="11"/>
    </row>
    <row r="833" spans="7:14">
      <c r="G833" s="113"/>
      <c r="I833" s="113"/>
      <c r="K833" s="654"/>
      <c r="M833" s="247"/>
      <c r="N833" s="11"/>
    </row>
    <row r="834" spans="7:14">
      <c r="G834" s="113"/>
      <c r="I834" s="113"/>
      <c r="K834" s="654"/>
      <c r="M834" s="247"/>
      <c r="N834" s="11"/>
    </row>
    <row r="835" spans="7:14">
      <c r="G835" s="113"/>
      <c r="I835" s="113"/>
      <c r="K835" s="654"/>
      <c r="M835" s="247"/>
      <c r="N835" s="11"/>
    </row>
    <row r="836" spans="7:14">
      <c r="G836" s="113"/>
      <c r="I836" s="113"/>
      <c r="K836" s="654"/>
      <c r="M836" s="247"/>
      <c r="N836" s="11"/>
    </row>
    <row r="837" spans="7:14">
      <c r="G837" s="113"/>
      <c r="I837" s="113"/>
      <c r="K837" s="654"/>
      <c r="M837" s="247"/>
      <c r="N837" s="11"/>
    </row>
    <row r="838" spans="7:14">
      <c r="G838" s="113"/>
      <c r="I838" s="113"/>
      <c r="K838" s="654"/>
      <c r="M838" s="247"/>
      <c r="N838" s="11"/>
    </row>
    <row r="839" spans="7:14">
      <c r="G839" s="113"/>
      <c r="I839" s="113"/>
      <c r="K839" s="654"/>
      <c r="M839" s="247"/>
      <c r="N839" s="11"/>
    </row>
    <row r="840" spans="7:14">
      <c r="G840" s="113"/>
      <c r="I840" s="113"/>
      <c r="K840" s="654"/>
      <c r="M840" s="247"/>
      <c r="N840" s="11"/>
    </row>
    <row r="841" spans="7:14">
      <c r="G841" s="113"/>
      <c r="I841" s="113"/>
      <c r="K841" s="654"/>
      <c r="M841" s="247"/>
      <c r="N841" s="11"/>
    </row>
    <row r="842" spans="7:14">
      <c r="G842" s="113"/>
      <c r="I842" s="113"/>
      <c r="K842" s="654"/>
      <c r="M842" s="247"/>
      <c r="N842" s="11"/>
    </row>
    <row r="843" spans="7:14">
      <c r="G843" s="113"/>
      <c r="I843" s="113"/>
      <c r="K843" s="654"/>
      <c r="M843" s="247"/>
      <c r="N843" s="11"/>
    </row>
    <row r="844" spans="7:14">
      <c r="G844" s="113"/>
      <c r="I844" s="113"/>
      <c r="K844" s="654"/>
      <c r="M844" s="247"/>
      <c r="N844" s="11"/>
    </row>
    <row r="845" spans="7:14">
      <c r="G845" s="113"/>
      <c r="I845" s="113"/>
      <c r="K845" s="654"/>
      <c r="M845" s="247"/>
      <c r="N845" s="11"/>
    </row>
    <row r="846" spans="7:14">
      <c r="G846" s="113"/>
      <c r="I846" s="113"/>
      <c r="K846" s="654"/>
      <c r="M846" s="247"/>
      <c r="N846" s="11"/>
    </row>
    <row r="847" spans="7:14">
      <c r="G847" s="113"/>
      <c r="I847" s="113"/>
      <c r="K847" s="654"/>
      <c r="M847" s="247"/>
      <c r="N847" s="11"/>
    </row>
    <row r="848" spans="7:14">
      <c r="G848" s="113"/>
      <c r="I848" s="113"/>
      <c r="K848" s="654"/>
      <c r="M848" s="247"/>
      <c r="N848" s="11"/>
    </row>
    <row r="849" spans="7:14">
      <c r="G849" s="113"/>
      <c r="I849" s="113"/>
      <c r="K849" s="654"/>
      <c r="M849" s="247"/>
      <c r="N849" s="11"/>
    </row>
    <row r="850" spans="7:14">
      <c r="G850" s="113"/>
      <c r="I850" s="113"/>
      <c r="K850" s="654"/>
      <c r="M850" s="247"/>
      <c r="N850" s="11"/>
    </row>
    <row r="851" spans="7:14">
      <c r="G851" s="113"/>
      <c r="I851" s="113"/>
      <c r="K851" s="654"/>
      <c r="M851" s="247"/>
      <c r="N851" s="11"/>
    </row>
    <row r="852" spans="7:14">
      <c r="G852" s="113"/>
      <c r="I852" s="113"/>
      <c r="K852" s="654"/>
      <c r="M852" s="247"/>
      <c r="N852" s="11"/>
    </row>
    <row r="853" spans="7:14">
      <c r="G853" s="113"/>
      <c r="I853" s="113"/>
      <c r="K853" s="654"/>
      <c r="M853" s="247"/>
      <c r="N853" s="11"/>
    </row>
    <row r="854" spans="7:14">
      <c r="G854" s="113"/>
      <c r="I854" s="113"/>
      <c r="K854" s="654"/>
      <c r="M854" s="247"/>
      <c r="N854" s="11"/>
    </row>
    <row r="855" spans="7:14">
      <c r="G855" s="113"/>
      <c r="I855" s="113"/>
      <c r="K855" s="654"/>
      <c r="M855" s="247"/>
      <c r="N855" s="11"/>
    </row>
    <row r="856" spans="7:14">
      <c r="G856" s="113"/>
      <c r="I856" s="113"/>
      <c r="K856" s="654"/>
      <c r="M856" s="247"/>
      <c r="N856" s="11"/>
    </row>
    <row r="857" spans="7:14">
      <c r="G857" s="113"/>
      <c r="I857" s="113"/>
      <c r="K857" s="654"/>
      <c r="M857" s="247"/>
      <c r="N857" s="11"/>
    </row>
    <row r="858" spans="7:14">
      <c r="G858" s="113"/>
      <c r="I858" s="113"/>
      <c r="K858" s="654"/>
      <c r="M858" s="247"/>
      <c r="N858" s="11"/>
    </row>
    <row r="859" spans="7:14">
      <c r="G859" s="113"/>
      <c r="I859" s="113"/>
      <c r="K859" s="654"/>
      <c r="M859" s="247"/>
      <c r="N859" s="11"/>
    </row>
    <row r="860" spans="7:14">
      <c r="G860" s="113"/>
      <c r="I860" s="113"/>
      <c r="K860" s="654"/>
      <c r="M860" s="247"/>
      <c r="N860" s="11"/>
    </row>
    <row r="861" spans="7:14">
      <c r="G861" s="113"/>
      <c r="I861" s="113"/>
      <c r="K861" s="654"/>
      <c r="M861" s="247"/>
      <c r="N861" s="11"/>
    </row>
    <row r="862" spans="7:14">
      <c r="G862" s="113"/>
      <c r="I862" s="113"/>
      <c r="K862" s="654"/>
      <c r="M862" s="247"/>
      <c r="N862" s="11"/>
    </row>
    <row r="863" spans="7:14">
      <c r="G863" s="113"/>
      <c r="I863" s="113"/>
      <c r="K863" s="654"/>
      <c r="M863" s="247"/>
      <c r="N863" s="11"/>
    </row>
    <row r="864" spans="7:14">
      <c r="G864" s="113"/>
      <c r="I864" s="113"/>
      <c r="K864" s="654"/>
      <c r="M864" s="247"/>
      <c r="N864" s="11"/>
    </row>
    <row r="865" spans="7:14">
      <c r="G865" s="113"/>
      <c r="I865" s="113"/>
      <c r="K865" s="654"/>
      <c r="M865" s="247"/>
      <c r="N865" s="11"/>
    </row>
    <row r="866" spans="7:14">
      <c r="G866" s="113"/>
      <c r="I866" s="113"/>
      <c r="K866" s="654"/>
      <c r="M866" s="247"/>
      <c r="N866" s="11"/>
    </row>
    <row r="867" spans="7:14">
      <c r="G867" s="113"/>
      <c r="I867" s="113"/>
      <c r="K867" s="654"/>
      <c r="M867" s="247"/>
      <c r="N867" s="11"/>
    </row>
    <row r="868" spans="7:14">
      <c r="G868" s="113"/>
      <c r="I868" s="113"/>
      <c r="K868" s="654"/>
      <c r="M868" s="247"/>
      <c r="N868" s="11"/>
    </row>
    <row r="869" spans="7:14">
      <c r="G869" s="113"/>
      <c r="I869" s="113"/>
      <c r="K869" s="654"/>
      <c r="M869" s="247"/>
      <c r="N869" s="11"/>
    </row>
    <row r="870" spans="7:14">
      <c r="G870" s="113"/>
      <c r="I870" s="113"/>
      <c r="K870" s="654"/>
      <c r="M870" s="247"/>
      <c r="N870" s="11"/>
    </row>
    <row r="871" spans="7:14">
      <c r="G871" s="113"/>
      <c r="I871" s="113"/>
      <c r="K871" s="654"/>
      <c r="M871" s="247"/>
      <c r="N871" s="11"/>
    </row>
    <row r="872" spans="7:14">
      <c r="G872" s="113"/>
      <c r="I872" s="113"/>
      <c r="K872" s="654"/>
      <c r="M872" s="247"/>
      <c r="N872" s="11"/>
    </row>
    <row r="873" spans="7:14">
      <c r="G873" s="113"/>
      <c r="I873" s="113"/>
      <c r="K873" s="654"/>
      <c r="M873" s="247"/>
      <c r="N873" s="11"/>
    </row>
    <row r="874" spans="7:14">
      <c r="G874" s="113"/>
      <c r="I874" s="113"/>
      <c r="K874" s="654"/>
      <c r="M874" s="247"/>
      <c r="N874" s="11"/>
    </row>
    <row r="875" spans="7:14">
      <c r="G875" s="113"/>
      <c r="I875" s="113"/>
      <c r="K875" s="654"/>
      <c r="M875" s="247"/>
      <c r="N875" s="11"/>
    </row>
    <row r="876" spans="7:14">
      <c r="G876" s="113"/>
      <c r="I876" s="113"/>
      <c r="K876" s="654"/>
      <c r="M876" s="247"/>
      <c r="N876" s="11"/>
    </row>
    <row r="877" spans="7:14">
      <c r="G877" s="113"/>
      <c r="I877" s="113"/>
      <c r="K877" s="654"/>
      <c r="M877" s="247"/>
      <c r="N877" s="11"/>
    </row>
    <row r="878" spans="7:14">
      <c r="G878" s="113"/>
      <c r="I878" s="113"/>
      <c r="K878" s="654"/>
      <c r="M878" s="247"/>
      <c r="N878" s="11"/>
    </row>
    <row r="879" spans="7:14">
      <c r="G879" s="113"/>
      <c r="I879" s="113"/>
      <c r="K879" s="654"/>
      <c r="M879" s="247"/>
      <c r="N879" s="11"/>
    </row>
    <row r="880" spans="7:14">
      <c r="G880" s="113"/>
      <c r="I880" s="113"/>
      <c r="K880" s="654"/>
      <c r="M880" s="247"/>
      <c r="N880" s="11"/>
    </row>
    <row r="881" spans="7:14">
      <c r="G881" s="113"/>
      <c r="I881" s="113"/>
      <c r="K881" s="654"/>
      <c r="M881" s="247"/>
      <c r="N881" s="11"/>
    </row>
    <row r="882" spans="7:14">
      <c r="G882" s="113"/>
      <c r="I882" s="113"/>
      <c r="K882" s="654"/>
      <c r="M882" s="247"/>
      <c r="N882" s="11"/>
    </row>
    <row r="883" spans="7:14">
      <c r="G883" s="113"/>
      <c r="I883" s="113"/>
      <c r="K883" s="654"/>
      <c r="M883" s="247"/>
      <c r="N883" s="11"/>
    </row>
    <row r="884" spans="7:14">
      <c r="G884" s="113"/>
      <c r="I884" s="113"/>
      <c r="K884" s="654"/>
      <c r="M884" s="247"/>
      <c r="N884" s="11"/>
    </row>
    <row r="885" spans="7:14">
      <c r="G885" s="113"/>
      <c r="I885" s="113"/>
      <c r="K885" s="654"/>
      <c r="M885" s="247"/>
      <c r="N885" s="11"/>
    </row>
    <row r="886" spans="7:14">
      <c r="G886" s="113"/>
      <c r="I886" s="113"/>
      <c r="K886" s="654"/>
      <c r="M886" s="247"/>
      <c r="N886" s="11"/>
    </row>
    <row r="887" spans="7:14">
      <c r="G887" s="113"/>
      <c r="I887" s="113"/>
      <c r="K887" s="654"/>
      <c r="M887" s="247"/>
      <c r="N887" s="11"/>
    </row>
    <row r="888" spans="7:14">
      <c r="G888" s="113"/>
      <c r="I888" s="113"/>
      <c r="K888" s="654"/>
      <c r="M888" s="247"/>
      <c r="N888" s="11"/>
    </row>
    <row r="889" spans="7:14">
      <c r="G889" s="113"/>
      <c r="I889" s="113"/>
      <c r="K889" s="654"/>
      <c r="M889" s="247"/>
      <c r="N889" s="11"/>
    </row>
    <row r="890" spans="7:14">
      <c r="G890" s="113"/>
      <c r="I890" s="113"/>
      <c r="K890" s="654"/>
      <c r="M890" s="247"/>
      <c r="N890" s="11"/>
    </row>
    <row r="891" spans="7:14">
      <c r="G891" s="113"/>
      <c r="I891" s="113"/>
      <c r="K891" s="654"/>
      <c r="M891" s="247"/>
      <c r="N891" s="11"/>
    </row>
    <row r="892" spans="7:14">
      <c r="G892" s="113"/>
      <c r="I892" s="113"/>
      <c r="K892" s="654"/>
      <c r="M892" s="247"/>
      <c r="N892" s="11"/>
    </row>
    <row r="893" spans="7:14">
      <c r="G893" s="113"/>
      <c r="I893" s="113"/>
      <c r="K893" s="654"/>
      <c r="M893" s="247"/>
      <c r="N893" s="11"/>
    </row>
    <row r="894" spans="7:14">
      <c r="G894" s="113"/>
      <c r="I894" s="113"/>
      <c r="K894" s="654"/>
      <c r="M894" s="247"/>
      <c r="N894" s="11"/>
    </row>
    <row r="895" spans="7:14">
      <c r="G895" s="113"/>
      <c r="I895" s="113"/>
      <c r="K895" s="654"/>
      <c r="M895" s="247"/>
      <c r="N895" s="11"/>
    </row>
    <row r="896" spans="7:14">
      <c r="G896" s="113"/>
      <c r="I896" s="113"/>
      <c r="K896" s="654"/>
      <c r="M896" s="247"/>
      <c r="N896" s="11"/>
    </row>
    <row r="897" spans="7:14">
      <c r="G897" s="113"/>
      <c r="I897" s="113"/>
      <c r="K897" s="654"/>
      <c r="M897" s="247"/>
      <c r="N897" s="11"/>
    </row>
    <row r="898" spans="7:14">
      <c r="G898" s="113"/>
      <c r="I898" s="113"/>
      <c r="K898" s="654"/>
      <c r="M898" s="247"/>
      <c r="N898" s="11"/>
    </row>
    <row r="899" spans="7:14">
      <c r="G899" s="113"/>
      <c r="I899" s="113"/>
      <c r="K899" s="654"/>
      <c r="M899" s="247"/>
      <c r="N899" s="11"/>
    </row>
    <row r="900" spans="7:14">
      <c r="G900" s="113"/>
      <c r="I900" s="113"/>
      <c r="K900" s="654"/>
      <c r="M900" s="247"/>
      <c r="N900" s="11"/>
    </row>
    <row r="901" spans="7:14">
      <c r="G901" s="113"/>
      <c r="I901" s="113"/>
      <c r="K901" s="654"/>
      <c r="M901" s="247"/>
      <c r="N901" s="11"/>
    </row>
    <row r="902" spans="7:14">
      <c r="G902" s="113"/>
      <c r="I902" s="113"/>
      <c r="K902" s="654"/>
      <c r="M902" s="247"/>
      <c r="N902" s="11"/>
    </row>
    <row r="903" spans="7:14">
      <c r="G903" s="113"/>
      <c r="I903" s="113"/>
      <c r="K903" s="654"/>
      <c r="M903" s="247"/>
      <c r="N903" s="11"/>
    </row>
    <row r="904" spans="7:14">
      <c r="G904" s="113"/>
      <c r="I904" s="113"/>
      <c r="K904" s="654"/>
      <c r="M904" s="247"/>
      <c r="N904" s="11"/>
    </row>
    <row r="905" spans="7:14">
      <c r="G905" s="113"/>
      <c r="I905" s="113"/>
      <c r="K905" s="654"/>
      <c r="M905" s="247"/>
      <c r="N905" s="11"/>
    </row>
    <row r="906" spans="7:14">
      <c r="G906" s="113"/>
      <c r="I906" s="113"/>
      <c r="K906" s="654"/>
      <c r="M906" s="247"/>
      <c r="N906" s="11"/>
    </row>
    <row r="907" spans="7:14">
      <c r="G907" s="113"/>
      <c r="I907" s="113"/>
      <c r="K907" s="654"/>
      <c r="M907" s="247"/>
      <c r="N907" s="11"/>
    </row>
    <row r="908" spans="7:14">
      <c r="G908" s="113"/>
      <c r="I908" s="113"/>
      <c r="K908" s="654"/>
      <c r="M908" s="247"/>
      <c r="N908" s="11"/>
    </row>
    <row r="909" spans="7:14">
      <c r="G909" s="113"/>
      <c r="I909" s="113"/>
      <c r="K909" s="654"/>
      <c r="M909" s="247"/>
      <c r="N909" s="11"/>
    </row>
    <row r="910" spans="7:14">
      <c r="G910" s="113"/>
      <c r="I910" s="113"/>
      <c r="K910" s="654"/>
      <c r="M910" s="247"/>
      <c r="N910" s="11"/>
    </row>
    <row r="911" spans="7:14">
      <c r="G911" s="113"/>
      <c r="I911" s="113"/>
      <c r="K911" s="654"/>
      <c r="M911" s="247"/>
      <c r="N911" s="11"/>
    </row>
    <row r="912" spans="7:14">
      <c r="G912" s="113"/>
      <c r="I912" s="113"/>
      <c r="K912" s="654"/>
      <c r="M912" s="247"/>
      <c r="N912" s="11"/>
    </row>
    <row r="913" spans="7:14">
      <c r="G913" s="113"/>
      <c r="I913" s="113"/>
      <c r="K913" s="654"/>
      <c r="M913" s="247"/>
      <c r="N913" s="11"/>
    </row>
    <row r="914" spans="7:14">
      <c r="G914" s="113"/>
      <c r="I914" s="113"/>
      <c r="K914" s="654"/>
      <c r="M914" s="247"/>
      <c r="N914" s="11"/>
    </row>
    <row r="915" spans="7:14">
      <c r="G915" s="113"/>
      <c r="I915" s="113"/>
      <c r="K915" s="654"/>
      <c r="M915" s="247"/>
      <c r="N915" s="11"/>
    </row>
    <row r="916" spans="7:14">
      <c r="G916" s="113"/>
      <c r="I916" s="113"/>
      <c r="K916" s="654"/>
      <c r="M916" s="247"/>
      <c r="N916" s="11"/>
    </row>
    <row r="917" spans="7:14">
      <c r="G917" s="113"/>
      <c r="I917" s="113"/>
      <c r="K917" s="654"/>
      <c r="M917" s="247"/>
      <c r="N917" s="11"/>
    </row>
    <row r="918" spans="7:14">
      <c r="G918" s="113"/>
      <c r="I918" s="113"/>
      <c r="K918" s="654"/>
      <c r="M918" s="247"/>
      <c r="N918" s="11"/>
    </row>
    <row r="919" spans="7:14">
      <c r="G919" s="113"/>
      <c r="I919" s="113"/>
      <c r="K919" s="654"/>
      <c r="M919" s="247"/>
      <c r="N919" s="11"/>
    </row>
    <row r="920" spans="7:14">
      <c r="G920" s="113"/>
      <c r="I920" s="113"/>
      <c r="K920" s="654"/>
      <c r="M920" s="247"/>
      <c r="N920" s="11"/>
    </row>
    <row r="921" spans="7:14">
      <c r="G921" s="113"/>
      <c r="I921" s="113"/>
      <c r="K921" s="654"/>
      <c r="M921" s="247"/>
      <c r="N921" s="11"/>
    </row>
    <row r="922" spans="7:14">
      <c r="G922" s="113"/>
      <c r="I922" s="113"/>
      <c r="K922" s="654"/>
      <c r="M922" s="247"/>
      <c r="N922" s="11"/>
    </row>
    <row r="923" spans="7:14">
      <c r="G923" s="113"/>
      <c r="I923" s="113"/>
      <c r="K923" s="654"/>
      <c r="M923" s="247"/>
      <c r="N923" s="11"/>
    </row>
    <row r="924" spans="7:14">
      <c r="G924" s="113"/>
      <c r="I924" s="113"/>
      <c r="K924" s="654"/>
      <c r="M924" s="247"/>
      <c r="N924" s="11"/>
    </row>
    <row r="925" spans="7:14">
      <c r="G925" s="113"/>
      <c r="I925" s="113"/>
      <c r="K925" s="654"/>
      <c r="M925" s="247"/>
      <c r="N925" s="11"/>
    </row>
    <row r="926" spans="7:14">
      <c r="G926" s="113"/>
      <c r="I926" s="113"/>
      <c r="K926" s="654"/>
      <c r="M926" s="247"/>
      <c r="N926" s="11"/>
    </row>
    <row r="927" spans="7:14">
      <c r="G927" s="113"/>
      <c r="I927" s="113"/>
      <c r="K927" s="654"/>
      <c r="M927" s="247"/>
      <c r="N927" s="11"/>
    </row>
    <row r="928" spans="7:14">
      <c r="G928" s="113"/>
      <c r="I928" s="113"/>
      <c r="K928" s="654"/>
      <c r="M928" s="247"/>
      <c r="N928" s="11"/>
    </row>
    <row r="929" spans="7:14">
      <c r="G929" s="113"/>
      <c r="I929" s="113"/>
      <c r="K929" s="654"/>
      <c r="M929" s="247"/>
      <c r="N929" s="11"/>
    </row>
    <row r="930" spans="7:14">
      <c r="G930" s="113"/>
      <c r="I930" s="113"/>
      <c r="K930" s="654"/>
      <c r="M930" s="247"/>
      <c r="N930" s="11"/>
    </row>
    <row r="931" spans="7:14">
      <c r="G931" s="113"/>
      <c r="I931" s="113"/>
      <c r="K931" s="654"/>
      <c r="M931" s="247"/>
      <c r="N931" s="11"/>
    </row>
    <row r="932" spans="7:14">
      <c r="G932" s="113"/>
      <c r="I932" s="113"/>
      <c r="K932" s="654"/>
      <c r="M932" s="247"/>
      <c r="N932" s="11"/>
    </row>
    <row r="933" spans="7:14">
      <c r="G933" s="113"/>
      <c r="I933" s="113"/>
      <c r="K933" s="654"/>
      <c r="M933" s="247"/>
      <c r="N933" s="11"/>
    </row>
    <row r="934" spans="7:14">
      <c r="G934" s="113"/>
      <c r="I934" s="113"/>
      <c r="K934" s="654"/>
      <c r="M934" s="247"/>
      <c r="N934" s="11"/>
    </row>
    <row r="935" spans="7:14">
      <c r="G935" s="113"/>
      <c r="I935" s="113"/>
      <c r="K935" s="654"/>
      <c r="M935" s="247"/>
      <c r="N935" s="11"/>
    </row>
    <row r="936" spans="7:14">
      <c r="G936" s="113"/>
      <c r="I936" s="113"/>
      <c r="K936" s="654"/>
      <c r="M936" s="247"/>
      <c r="N936" s="11"/>
    </row>
    <row r="937" spans="7:14">
      <c r="G937" s="113"/>
      <c r="I937" s="113"/>
      <c r="K937" s="654"/>
      <c r="M937" s="247"/>
      <c r="N937" s="11"/>
    </row>
    <row r="938" spans="7:14">
      <c r="G938" s="113"/>
      <c r="I938" s="113"/>
      <c r="K938" s="654"/>
      <c r="M938" s="247"/>
      <c r="N938" s="11"/>
    </row>
    <row r="939" spans="7:14">
      <c r="G939" s="113"/>
      <c r="I939" s="113"/>
      <c r="K939" s="654"/>
      <c r="M939" s="247"/>
      <c r="N939" s="11"/>
    </row>
    <row r="940" spans="7:14">
      <c r="G940" s="113"/>
      <c r="I940" s="113"/>
      <c r="K940" s="654"/>
      <c r="M940" s="247"/>
      <c r="N940" s="11"/>
    </row>
    <row r="941" spans="7:14">
      <c r="G941" s="113"/>
      <c r="I941" s="113"/>
      <c r="K941" s="654"/>
      <c r="M941" s="247"/>
      <c r="N941" s="11"/>
    </row>
    <row r="942" spans="7:14">
      <c r="G942" s="113"/>
      <c r="I942" s="113"/>
      <c r="K942" s="654"/>
      <c r="M942" s="247"/>
      <c r="N942" s="11"/>
    </row>
    <row r="943" spans="7:14">
      <c r="G943" s="113"/>
      <c r="I943" s="113"/>
      <c r="K943" s="654"/>
      <c r="M943" s="247"/>
      <c r="N943" s="11"/>
    </row>
    <row r="944" spans="7:14">
      <c r="G944" s="113"/>
      <c r="I944" s="113"/>
      <c r="K944" s="654"/>
      <c r="M944" s="247"/>
      <c r="N944" s="11"/>
    </row>
    <row r="945" spans="7:14">
      <c r="G945" s="113"/>
      <c r="I945" s="113"/>
      <c r="K945" s="654"/>
      <c r="M945" s="247"/>
      <c r="N945" s="11"/>
    </row>
    <row r="946" spans="7:14">
      <c r="G946" s="113"/>
      <c r="I946" s="113"/>
      <c r="K946" s="654"/>
      <c r="M946" s="247"/>
      <c r="N946" s="11"/>
    </row>
    <row r="947" spans="7:14">
      <c r="G947" s="113"/>
      <c r="I947" s="113"/>
      <c r="K947" s="654"/>
      <c r="M947" s="247"/>
      <c r="N947" s="11"/>
    </row>
    <row r="948" spans="7:14">
      <c r="G948" s="113"/>
      <c r="I948" s="113"/>
      <c r="K948" s="654"/>
      <c r="M948" s="247"/>
      <c r="N948" s="11"/>
    </row>
    <row r="949" spans="7:14">
      <c r="G949" s="113"/>
      <c r="I949" s="113"/>
      <c r="K949" s="654"/>
      <c r="M949" s="247"/>
      <c r="N949" s="11"/>
    </row>
    <row r="950" spans="7:14">
      <c r="G950" s="113"/>
      <c r="I950" s="113"/>
      <c r="K950" s="654"/>
      <c r="M950" s="247"/>
      <c r="N950" s="11"/>
    </row>
    <row r="951" spans="7:14">
      <c r="G951" s="113"/>
      <c r="I951" s="113"/>
      <c r="K951" s="654"/>
      <c r="M951" s="247"/>
      <c r="N951" s="11"/>
    </row>
    <row r="952" spans="7:14">
      <c r="G952" s="113"/>
      <c r="I952" s="113"/>
      <c r="K952" s="654"/>
      <c r="M952" s="247"/>
      <c r="N952" s="11"/>
    </row>
    <row r="953" spans="7:14">
      <c r="G953" s="113"/>
      <c r="I953" s="113"/>
      <c r="K953" s="654"/>
      <c r="M953" s="247"/>
      <c r="N953" s="11"/>
    </row>
    <row r="954" spans="7:14">
      <c r="G954" s="113"/>
      <c r="I954" s="113"/>
      <c r="K954" s="654"/>
      <c r="M954" s="247"/>
      <c r="N954" s="11"/>
    </row>
    <row r="955" spans="7:14">
      <c r="G955" s="113"/>
      <c r="I955" s="113"/>
      <c r="K955" s="654"/>
      <c r="M955" s="247"/>
      <c r="N955" s="11"/>
    </row>
    <row r="956" spans="7:14">
      <c r="G956" s="113"/>
      <c r="I956" s="113"/>
      <c r="K956" s="654"/>
      <c r="M956" s="247"/>
      <c r="N956" s="11"/>
    </row>
    <row r="957" spans="7:14">
      <c r="G957" s="113"/>
      <c r="I957" s="113"/>
      <c r="K957" s="654"/>
      <c r="M957" s="247"/>
      <c r="N957" s="11"/>
    </row>
    <row r="958" spans="7:14">
      <c r="G958" s="113"/>
      <c r="I958" s="113"/>
      <c r="K958" s="654"/>
      <c r="M958" s="247"/>
      <c r="N958" s="11"/>
    </row>
    <row r="959" spans="7:14">
      <c r="G959" s="113"/>
      <c r="I959" s="113"/>
      <c r="K959" s="654"/>
      <c r="M959" s="247"/>
      <c r="N959" s="11"/>
    </row>
    <row r="960" spans="7:14">
      <c r="G960" s="113"/>
      <c r="I960" s="113"/>
      <c r="K960" s="654"/>
      <c r="M960" s="247"/>
      <c r="N960" s="11"/>
    </row>
    <row r="961" spans="7:14">
      <c r="G961" s="113"/>
      <c r="I961" s="113"/>
      <c r="K961" s="654"/>
      <c r="M961" s="247"/>
      <c r="N961" s="11"/>
    </row>
    <row r="962" spans="7:14">
      <c r="G962" s="113"/>
      <c r="I962" s="113"/>
      <c r="K962" s="654"/>
      <c r="M962" s="247"/>
      <c r="N962" s="11"/>
    </row>
    <row r="963" spans="7:14">
      <c r="G963" s="113"/>
      <c r="I963" s="113"/>
      <c r="K963" s="654"/>
      <c r="M963" s="247"/>
      <c r="N963" s="11"/>
    </row>
    <row r="964" spans="7:14">
      <c r="G964" s="113"/>
      <c r="I964" s="113"/>
      <c r="K964" s="654"/>
      <c r="M964" s="247"/>
      <c r="N964" s="11"/>
    </row>
    <row r="965" spans="7:14">
      <c r="G965" s="113"/>
      <c r="I965" s="113"/>
      <c r="K965" s="654"/>
      <c r="M965" s="247"/>
      <c r="N965" s="11"/>
    </row>
    <row r="966" spans="7:14">
      <c r="G966" s="113"/>
      <c r="I966" s="113"/>
      <c r="K966" s="654"/>
      <c r="M966" s="247"/>
      <c r="N966" s="11"/>
    </row>
    <row r="967" spans="7:14">
      <c r="G967" s="113"/>
      <c r="I967" s="113"/>
      <c r="K967" s="654"/>
      <c r="M967" s="247"/>
      <c r="N967" s="11"/>
    </row>
    <row r="968" spans="7:14">
      <c r="G968" s="113"/>
      <c r="I968" s="113"/>
      <c r="K968" s="654"/>
      <c r="M968" s="247"/>
      <c r="N968" s="11"/>
    </row>
    <row r="969" spans="7:14">
      <c r="G969" s="113"/>
      <c r="I969" s="113"/>
      <c r="K969" s="654"/>
      <c r="M969" s="247"/>
      <c r="N969" s="11"/>
    </row>
    <row r="970" spans="7:14">
      <c r="G970" s="113"/>
      <c r="I970" s="113"/>
      <c r="K970" s="654"/>
      <c r="M970" s="247"/>
      <c r="N970" s="11"/>
    </row>
    <row r="971" spans="7:14">
      <c r="G971" s="113"/>
      <c r="I971" s="113"/>
      <c r="K971" s="654"/>
      <c r="M971" s="247"/>
      <c r="N971" s="11"/>
    </row>
    <row r="972" spans="7:14">
      <c r="G972" s="113"/>
      <c r="I972" s="113"/>
      <c r="K972" s="654"/>
      <c r="M972" s="247"/>
      <c r="N972" s="11"/>
    </row>
    <row r="973" spans="7:14">
      <c r="G973" s="113"/>
      <c r="I973" s="113"/>
      <c r="K973" s="654"/>
      <c r="M973" s="247"/>
      <c r="N973" s="11"/>
    </row>
    <row r="974" spans="7:14">
      <c r="G974" s="113"/>
      <c r="I974" s="113"/>
      <c r="K974" s="654"/>
      <c r="M974" s="247"/>
      <c r="N974" s="11"/>
    </row>
    <row r="975" spans="7:14">
      <c r="G975" s="113"/>
      <c r="I975" s="113"/>
      <c r="K975" s="654"/>
      <c r="M975" s="247"/>
      <c r="N975" s="11"/>
    </row>
    <row r="976" spans="7:14">
      <c r="G976" s="113"/>
      <c r="I976" s="113"/>
      <c r="K976" s="654"/>
      <c r="M976" s="247"/>
      <c r="N976" s="11"/>
    </row>
    <row r="977" spans="7:14">
      <c r="G977" s="113"/>
      <c r="I977" s="113"/>
      <c r="K977" s="654"/>
      <c r="M977" s="247"/>
      <c r="N977" s="11"/>
    </row>
    <row r="978" spans="7:14">
      <c r="G978" s="113"/>
      <c r="I978" s="113"/>
      <c r="K978" s="654"/>
      <c r="M978" s="247"/>
      <c r="N978" s="11"/>
    </row>
    <row r="979" spans="7:14">
      <c r="G979" s="113"/>
      <c r="I979" s="113"/>
      <c r="K979" s="654"/>
      <c r="M979" s="247"/>
      <c r="N979" s="11"/>
    </row>
    <row r="980" spans="7:14">
      <c r="G980" s="113"/>
      <c r="I980" s="113"/>
      <c r="K980" s="654"/>
      <c r="M980" s="247"/>
      <c r="N980" s="11"/>
    </row>
    <row r="981" spans="7:14">
      <c r="G981" s="113"/>
      <c r="I981" s="113"/>
      <c r="K981" s="654"/>
      <c r="M981" s="247"/>
      <c r="N981" s="11"/>
    </row>
    <row r="982" spans="7:14">
      <c r="G982" s="113"/>
      <c r="I982" s="113"/>
      <c r="K982" s="654"/>
      <c r="M982" s="247"/>
      <c r="N982" s="11"/>
    </row>
    <row r="983" spans="7:14">
      <c r="G983" s="113"/>
      <c r="I983" s="113"/>
      <c r="K983" s="654"/>
      <c r="M983" s="247"/>
      <c r="N983" s="11"/>
    </row>
    <row r="984" spans="7:14">
      <c r="G984" s="113"/>
      <c r="I984" s="113"/>
      <c r="K984" s="654"/>
      <c r="M984" s="247"/>
      <c r="N984" s="11"/>
    </row>
    <row r="985" spans="7:14">
      <c r="G985" s="113"/>
      <c r="I985" s="113"/>
      <c r="K985" s="654"/>
      <c r="M985" s="247"/>
      <c r="N985" s="11"/>
    </row>
    <row r="986" spans="7:14">
      <c r="G986" s="113"/>
      <c r="I986" s="113"/>
      <c r="K986" s="654"/>
      <c r="M986" s="247"/>
      <c r="N986" s="11"/>
    </row>
    <row r="987" spans="7:14">
      <c r="G987" s="113"/>
      <c r="I987" s="113"/>
      <c r="K987" s="654"/>
      <c r="M987" s="247"/>
      <c r="N987" s="11"/>
    </row>
    <row r="988" spans="7:14">
      <c r="G988" s="113"/>
      <c r="I988" s="113"/>
      <c r="K988" s="654"/>
      <c r="M988" s="247"/>
      <c r="N988" s="11"/>
    </row>
    <row r="989" spans="7:14">
      <c r="G989" s="113"/>
      <c r="I989" s="113"/>
      <c r="K989" s="654"/>
      <c r="M989" s="247"/>
      <c r="N989" s="11"/>
    </row>
    <row r="990" spans="7:14">
      <c r="G990" s="113"/>
      <c r="I990" s="113"/>
      <c r="K990" s="654"/>
      <c r="M990" s="247"/>
      <c r="N990" s="11"/>
    </row>
    <row r="991" spans="7:14">
      <c r="G991" s="113"/>
      <c r="I991" s="113"/>
      <c r="K991" s="654"/>
      <c r="M991" s="247"/>
      <c r="N991" s="11"/>
    </row>
    <row r="992" spans="7:14">
      <c r="G992" s="113"/>
      <c r="I992" s="113"/>
      <c r="K992" s="654"/>
      <c r="M992" s="247"/>
      <c r="N992" s="11"/>
    </row>
    <row r="993" spans="7:14">
      <c r="G993" s="113"/>
      <c r="I993" s="113"/>
      <c r="K993" s="654"/>
      <c r="M993" s="247"/>
      <c r="N993" s="11"/>
    </row>
    <row r="994" spans="7:14">
      <c r="G994" s="113"/>
      <c r="I994" s="113"/>
      <c r="K994" s="654"/>
      <c r="M994" s="247"/>
      <c r="N994" s="11"/>
    </row>
    <row r="995" spans="7:14">
      <c r="G995" s="113"/>
      <c r="I995" s="113"/>
      <c r="K995" s="654"/>
      <c r="M995" s="247"/>
      <c r="N995" s="11"/>
    </row>
    <row r="996" spans="7:14">
      <c r="G996" s="113"/>
      <c r="I996" s="113"/>
      <c r="K996" s="654"/>
      <c r="M996" s="247"/>
      <c r="N996" s="11"/>
    </row>
    <row r="997" spans="7:14">
      <c r="G997" s="113"/>
      <c r="I997" s="113"/>
      <c r="K997" s="654"/>
      <c r="M997" s="247"/>
      <c r="N997" s="11"/>
    </row>
    <row r="998" spans="7:14">
      <c r="G998" s="113"/>
      <c r="I998" s="113"/>
      <c r="K998" s="654"/>
      <c r="M998" s="247"/>
      <c r="N998" s="11"/>
    </row>
    <row r="999" spans="7:14">
      <c r="G999" s="113"/>
      <c r="I999" s="113"/>
      <c r="K999" s="654"/>
      <c r="M999" s="247"/>
      <c r="N999" s="11"/>
    </row>
    <row r="1000" spans="7:14">
      <c r="G1000" s="113"/>
      <c r="I1000" s="113"/>
      <c r="K1000" s="654"/>
      <c r="M1000" s="247"/>
      <c r="N1000" s="11"/>
    </row>
    <row r="1001" spans="7:14">
      <c r="G1001" s="113"/>
      <c r="I1001" s="113"/>
      <c r="K1001" s="654"/>
      <c r="M1001" s="247"/>
      <c r="N1001" s="11"/>
    </row>
    <row r="1002" spans="7:14">
      <c r="G1002" s="113"/>
      <c r="I1002" s="113"/>
      <c r="K1002" s="654"/>
      <c r="M1002" s="247"/>
      <c r="N1002" s="11"/>
    </row>
    <row r="1003" spans="7:14">
      <c r="G1003" s="113"/>
      <c r="I1003" s="113"/>
      <c r="K1003" s="654"/>
      <c r="M1003" s="247"/>
      <c r="N1003" s="11"/>
    </row>
    <row r="1004" spans="7:14">
      <c r="G1004" s="113"/>
      <c r="I1004" s="113"/>
      <c r="K1004" s="654"/>
      <c r="M1004" s="247"/>
      <c r="N1004" s="11"/>
    </row>
    <row r="1005" spans="7:14">
      <c r="G1005" s="113"/>
      <c r="I1005" s="113"/>
      <c r="K1005" s="654"/>
      <c r="M1005" s="247"/>
      <c r="N1005" s="11"/>
    </row>
    <row r="1006" spans="7:14">
      <c r="G1006" s="113"/>
      <c r="I1006" s="113"/>
      <c r="K1006" s="654"/>
      <c r="M1006" s="247"/>
      <c r="N1006" s="11"/>
    </row>
    <row r="1007" spans="7:14">
      <c r="G1007" s="113"/>
      <c r="I1007" s="113"/>
      <c r="K1007" s="654"/>
      <c r="M1007" s="247"/>
      <c r="N1007" s="11"/>
    </row>
    <row r="1008" spans="7:14">
      <c r="G1008" s="113"/>
      <c r="I1008" s="113"/>
      <c r="K1008" s="654"/>
      <c r="M1008" s="247"/>
      <c r="N1008" s="11"/>
    </row>
    <row r="1009" spans="7:14">
      <c r="G1009" s="113"/>
      <c r="I1009" s="113"/>
      <c r="K1009" s="654"/>
      <c r="M1009" s="247"/>
      <c r="N1009" s="11"/>
    </row>
    <row r="1010" spans="7:14">
      <c r="G1010" s="113"/>
      <c r="I1010" s="113"/>
      <c r="K1010" s="654"/>
      <c r="M1010" s="247"/>
      <c r="N1010" s="11"/>
    </row>
    <row r="1011" spans="7:14">
      <c r="G1011" s="113"/>
      <c r="I1011" s="113"/>
      <c r="K1011" s="654"/>
      <c r="M1011" s="247"/>
      <c r="N1011" s="11"/>
    </row>
    <row r="1012" spans="7:14">
      <c r="G1012" s="113"/>
      <c r="I1012" s="113"/>
      <c r="K1012" s="654"/>
      <c r="M1012" s="247"/>
      <c r="N1012" s="11"/>
    </row>
    <row r="1013" spans="7:14">
      <c r="G1013" s="113"/>
      <c r="I1013" s="113"/>
      <c r="K1013" s="654"/>
      <c r="M1013" s="247"/>
      <c r="N1013" s="11"/>
    </row>
    <row r="1014" spans="7:14">
      <c r="G1014" s="113"/>
      <c r="I1014" s="113"/>
      <c r="K1014" s="654"/>
      <c r="M1014" s="247"/>
      <c r="N1014" s="11"/>
    </row>
  </sheetData>
  <mergeCells count="15">
    <mergeCell ref="B9:F9"/>
    <mergeCell ref="E2:J2"/>
    <mergeCell ref="E3:N3"/>
    <mergeCell ref="A5:L5"/>
    <mergeCell ref="A6:L6"/>
    <mergeCell ref="A8:A10"/>
    <mergeCell ref="B8:F8"/>
    <mergeCell ref="G8:G10"/>
    <mergeCell ref="H8:H10"/>
    <mergeCell ref="I8:I10"/>
    <mergeCell ref="J8:J10"/>
    <mergeCell ref="K8:K10"/>
    <mergeCell ref="L8:L10"/>
    <mergeCell ref="M8:M10"/>
    <mergeCell ref="N8:N10"/>
  </mergeCells>
  <pageMargins left="0.78740157480314965" right="0" top="0.19685039370078741" bottom="0" header="0.51181102362204722" footer="0.51181102362204722"/>
  <pageSetup paperSize="9" scale="73" orientation="portrait" r:id="rId1"/>
  <headerFooter alignWithMargins="0"/>
  <rowBreaks count="1" manualBreakCount="1">
    <brk id="73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1014"/>
  <sheetViews>
    <sheetView view="pageBreakPreview" zoomScale="75" zoomScaleSheetLayoutView="75" workbookViewId="0">
      <selection activeCell="L731" sqref="L731"/>
    </sheetView>
  </sheetViews>
  <sheetFormatPr defaultRowHeight="15"/>
  <cols>
    <col min="1" max="1" width="35.85546875" style="11" customWidth="1"/>
    <col min="2" max="2" width="7" style="11" customWidth="1"/>
    <col min="3" max="3" width="6.7109375" style="11" customWidth="1"/>
    <col min="4" max="4" width="5.140625" style="11" customWidth="1"/>
    <col min="5" max="5" width="9.7109375" style="11" customWidth="1"/>
    <col min="6" max="6" width="5.5703125" style="11" customWidth="1"/>
    <col min="7" max="7" width="0.140625" style="11" customWidth="1"/>
    <col min="8" max="8" width="13.85546875" style="11" hidden="1" customWidth="1"/>
    <col min="9" max="9" width="12.5703125" style="11" hidden="1" customWidth="1"/>
    <col min="10" max="10" width="14.42578125" style="156" customWidth="1"/>
    <col min="11" max="11" width="14.7109375" style="619" customWidth="1"/>
    <col min="12" max="12" width="17" style="619" customWidth="1"/>
    <col min="13" max="13" width="13.28515625" style="12" hidden="1" customWidth="1"/>
    <col min="14" max="14" width="13.85546875" style="12" hidden="1" customWidth="1"/>
    <col min="15" max="15" width="19.28515625" style="11" customWidth="1"/>
    <col min="16" max="16" width="12.85546875" style="11" bestFit="1" customWidth="1"/>
    <col min="17" max="17" width="14.140625" style="11" hidden="1" customWidth="1"/>
    <col min="18" max="18" width="14" style="11" bestFit="1" customWidth="1"/>
    <col min="19" max="19" width="13.28515625" style="11" customWidth="1"/>
    <col min="20" max="20" width="11" style="11" bestFit="1" customWidth="1"/>
    <col min="21" max="16384" width="9.140625" style="11"/>
  </cols>
  <sheetData>
    <row r="2" spans="1:18">
      <c r="E2" s="673" t="s">
        <v>1220</v>
      </c>
      <c r="F2" s="674"/>
      <c r="G2" s="674"/>
      <c r="H2" s="674"/>
      <c r="I2" s="674"/>
      <c r="J2" s="674"/>
    </row>
    <row r="3" spans="1:18" ht="40.5" customHeight="1">
      <c r="E3" s="675" t="s">
        <v>1221</v>
      </c>
      <c r="F3" s="675"/>
      <c r="G3" s="675"/>
      <c r="H3" s="675"/>
      <c r="I3" s="675"/>
      <c r="J3" s="675"/>
      <c r="K3" s="675"/>
      <c r="L3" s="675"/>
      <c r="M3" s="676"/>
      <c r="N3" s="676"/>
    </row>
    <row r="4" spans="1:18">
      <c r="E4" s="13"/>
      <c r="F4" s="13"/>
      <c r="G4" s="13"/>
      <c r="H4" s="13"/>
      <c r="I4" s="13"/>
      <c r="J4" s="620"/>
      <c r="K4" s="620"/>
      <c r="L4" s="620"/>
      <c r="M4" s="4"/>
      <c r="N4" s="4"/>
      <c r="O4" s="14">
        <f>L164+L209+L217+L413+L431+L435+L437+L446+L678</f>
        <v>22889.344000000001</v>
      </c>
      <c r="P4" s="15">
        <f>L144+L469</f>
        <v>1994.75</v>
      </c>
    </row>
    <row r="5" spans="1:18">
      <c r="A5" s="677" t="s">
        <v>109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4"/>
      <c r="N5" s="4"/>
    </row>
    <row r="6" spans="1:18" ht="51" customHeight="1">
      <c r="A6" s="670" t="s">
        <v>110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11"/>
      <c r="N6" s="11"/>
    </row>
    <row r="7" spans="1:18" ht="15.75" thickBot="1"/>
    <row r="8" spans="1:18" ht="12.75" customHeight="1">
      <c r="A8" s="672" t="s">
        <v>111</v>
      </c>
      <c r="B8" s="672" t="s">
        <v>112</v>
      </c>
      <c r="C8" s="672"/>
      <c r="D8" s="672"/>
      <c r="E8" s="672"/>
      <c r="F8" s="672"/>
      <c r="G8" s="680" t="s">
        <v>113</v>
      </c>
      <c r="H8" s="681" t="s">
        <v>114</v>
      </c>
      <c r="I8" s="672" t="s">
        <v>113</v>
      </c>
      <c r="J8" s="684" t="s">
        <v>115</v>
      </c>
      <c r="K8" s="686" t="s">
        <v>113</v>
      </c>
      <c r="L8" s="688" t="s">
        <v>116</v>
      </c>
      <c r="M8" s="690" t="s">
        <v>113</v>
      </c>
      <c r="N8" s="693" t="s">
        <v>117</v>
      </c>
    </row>
    <row r="9" spans="1:18">
      <c r="A9" s="672"/>
      <c r="B9" s="672" t="s">
        <v>118</v>
      </c>
      <c r="C9" s="672"/>
      <c r="D9" s="672"/>
      <c r="E9" s="672"/>
      <c r="F9" s="672"/>
      <c r="G9" s="680"/>
      <c r="H9" s="682"/>
      <c r="I9" s="683"/>
      <c r="J9" s="685"/>
      <c r="K9" s="687"/>
      <c r="L9" s="689"/>
      <c r="M9" s="691"/>
      <c r="N9" s="694"/>
    </row>
    <row r="10" spans="1:18" ht="129" customHeight="1" thickBot="1">
      <c r="A10" s="672"/>
      <c r="B10" s="578" t="s">
        <v>119</v>
      </c>
      <c r="C10" s="567" t="s">
        <v>120</v>
      </c>
      <c r="D10" s="567" t="s">
        <v>121</v>
      </c>
      <c r="E10" s="567" t="s">
        <v>122</v>
      </c>
      <c r="F10" s="567" t="s">
        <v>123</v>
      </c>
      <c r="G10" s="680"/>
      <c r="H10" s="682"/>
      <c r="I10" s="683"/>
      <c r="J10" s="685"/>
      <c r="K10" s="687"/>
      <c r="L10" s="689"/>
      <c r="M10" s="692"/>
      <c r="N10" s="695"/>
    </row>
    <row r="11" spans="1:18" ht="15.75" thickBot="1">
      <c r="A11" s="579" t="s">
        <v>0</v>
      </c>
      <c r="B11" s="579">
        <v>1</v>
      </c>
      <c r="C11" s="579">
        <v>2</v>
      </c>
      <c r="D11" s="579">
        <v>3</v>
      </c>
      <c r="E11" s="579">
        <v>4</v>
      </c>
      <c r="F11" s="579">
        <v>5</v>
      </c>
      <c r="G11" s="579"/>
      <c r="H11" s="580"/>
      <c r="I11" s="581"/>
      <c r="J11" s="621">
        <v>6</v>
      </c>
      <c r="K11" s="622">
        <v>7</v>
      </c>
      <c r="L11" s="623">
        <v>8</v>
      </c>
      <c r="M11" s="16">
        <v>7</v>
      </c>
      <c r="N11" s="17">
        <v>8</v>
      </c>
    </row>
    <row r="12" spans="1:18" ht="15.75" thickBot="1">
      <c r="A12" s="582" t="s">
        <v>124</v>
      </c>
      <c r="B12" s="583" t="s">
        <v>125</v>
      </c>
      <c r="C12" s="26"/>
      <c r="D12" s="26"/>
      <c r="E12" s="26"/>
      <c r="F12" s="26"/>
      <c r="G12" s="584">
        <f t="shared" ref="G12:M12" si="0">G13+G20</f>
        <v>749.74423999999999</v>
      </c>
      <c r="H12" s="584">
        <f t="shared" si="0"/>
        <v>38033.199999999997</v>
      </c>
      <c r="I12" s="584">
        <f t="shared" si="0"/>
        <v>0</v>
      </c>
      <c r="J12" s="624">
        <f t="shared" si="0"/>
        <v>21432.538570000001</v>
      </c>
      <c r="K12" s="625">
        <f t="shared" si="0"/>
        <v>694.17711999999983</v>
      </c>
      <c r="L12" s="625">
        <f>L13+L20</f>
        <v>22126.715690000001</v>
      </c>
      <c r="M12" s="18">
        <f t="shared" si="0"/>
        <v>-317.84000000000003</v>
      </c>
      <c r="N12" s="19">
        <f>N13+N20</f>
        <v>16242.11</v>
      </c>
      <c r="O12" s="20">
        <f>L12-L30-L59-L64</f>
        <v>14581.015690000002</v>
      </c>
      <c r="P12" s="11">
        <v>8935.25</v>
      </c>
      <c r="R12" s="15">
        <f>O12-P12</f>
        <v>5645.765690000002</v>
      </c>
    </row>
    <row r="13" spans="1:18" hidden="1">
      <c r="A13" s="585" t="s">
        <v>126</v>
      </c>
      <c r="B13" s="586" t="s">
        <v>125</v>
      </c>
      <c r="C13" s="586" t="s">
        <v>32</v>
      </c>
      <c r="D13" s="26"/>
      <c r="E13" s="26"/>
      <c r="F13" s="26"/>
      <c r="G13" s="587">
        <f t="shared" ref="G13:N16" si="1">G14</f>
        <v>0</v>
      </c>
      <c r="H13" s="587">
        <f t="shared" si="1"/>
        <v>131</v>
      </c>
      <c r="I13" s="587">
        <f t="shared" si="1"/>
        <v>0</v>
      </c>
      <c r="J13" s="626">
        <f t="shared" si="1"/>
        <v>0</v>
      </c>
      <c r="K13" s="379">
        <f t="shared" si="1"/>
        <v>0</v>
      </c>
      <c r="L13" s="379">
        <f>L14</f>
        <v>0</v>
      </c>
      <c r="M13" s="22">
        <f>M14</f>
        <v>0</v>
      </c>
      <c r="N13" s="23">
        <f>N14</f>
        <v>0</v>
      </c>
    </row>
    <row r="14" spans="1:18" ht="43.5" hidden="1">
      <c r="A14" s="24" t="s">
        <v>127</v>
      </c>
      <c r="B14" s="25" t="s">
        <v>125</v>
      </c>
      <c r="C14" s="25" t="s">
        <v>32</v>
      </c>
      <c r="D14" s="25" t="s">
        <v>28</v>
      </c>
      <c r="E14" s="26"/>
      <c r="F14" s="26"/>
      <c r="G14" s="589">
        <f t="shared" ref="G14:M14" si="2">G15+G18</f>
        <v>0</v>
      </c>
      <c r="H14" s="589">
        <f t="shared" si="2"/>
        <v>131</v>
      </c>
      <c r="I14" s="589">
        <f t="shared" si="2"/>
        <v>0</v>
      </c>
      <c r="J14" s="627">
        <f t="shared" si="2"/>
        <v>0</v>
      </c>
      <c r="K14" s="627">
        <f t="shared" si="2"/>
        <v>0</v>
      </c>
      <c r="L14" s="627">
        <f t="shared" si="2"/>
        <v>0</v>
      </c>
      <c r="M14" s="29">
        <f t="shared" si="2"/>
        <v>0</v>
      </c>
      <c r="N14" s="30">
        <f>N15+N18</f>
        <v>0</v>
      </c>
    </row>
    <row r="15" spans="1:18" ht="30" hidden="1">
      <c r="A15" s="31" t="s">
        <v>128</v>
      </c>
      <c r="B15" s="26" t="s">
        <v>125</v>
      </c>
      <c r="C15" s="26" t="s">
        <v>32</v>
      </c>
      <c r="D15" s="26" t="s">
        <v>28</v>
      </c>
      <c r="E15" s="26" t="s">
        <v>129</v>
      </c>
      <c r="F15" s="26"/>
      <c r="G15" s="589">
        <f t="shared" si="1"/>
        <v>-125</v>
      </c>
      <c r="H15" s="589">
        <f t="shared" si="1"/>
        <v>131</v>
      </c>
      <c r="I15" s="589">
        <f t="shared" si="1"/>
        <v>0</v>
      </c>
      <c r="J15" s="627">
        <f t="shared" si="1"/>
        <v>0</v>
      </c>
      <c r="K15" s="627">
        <f t="shared" si="1"/>
        <v>0</v>
      </c>
      <c r="L15" s="627">
        <f t="shared" si="1"/>
        <v>0</v>
      </c>
      <c r="M15" s="29">
        <f t="shared" si="1"/>
        <v>0</v>
      </c>
      <c r="N15" s="30">
        <f t="shared" si="1"/>
        <v>0</v>
      </c>
    </row>
    <row r="16" spans="1:18" ht="30" hidden="1">
      <c r="A16" s="31" t="s">
        <v>130</v>
      </c>
      <c r="B16" s="26" t="s">
        <v>125</v>
      </c>
      <c r="C16" s="26" t="s">
        <v>32</v>
      </c>
      <c r="D16" s="26" t="s">
        <v>28</v>
      </c>
      <c r="E16" s="26" t="s">
        <v>131</v>
      </c>
      <c r="F16" s="26"/>
      <c r="G16" s="589">
        <f t="shared" si="1"/>
        <v>-125</v>
      </c>
      <c r="H16" s="589">
        <f>H17</f>
        <v>131</v>
      </c>
      <c r="I16" s="589">
        <f t="shared" si="1"/>
        <v>0</v>
      </c>
      <c r="J16" s="627">
        <f t="shared" si="1"/>
        <v>0</v>
      </c>
      <c r="K16" s="627">
        <f t="shared" si="1"/>
        <v>0</v>
      </c>
      <c r="L16" s="627">
        <f t="shared" si="1"/>
        <v>0</v>
      </c>
      <c r="M16" s="29">
        <f t="shared" si="1"/>
        <v>0</v>
      </c>
      <c r="N16" s="30">
        <f t="shared" si="1"/>
        <v>0</v>
      </c>
    </row>
    <row r="17" spans="1:19" ht="30" hidden="1">
      <c r="A17" s="31" t="s">
        <v>132</v>
      </c>
      <c r="B17" s="26" t="s">
        <v>125</v>
      </c>
      <c r="C17" s="26" t="s">
        <v>32</v>
      </c>
      <c r="D17" s="26" t="s">
        <v>28</v>
      </c>
      <c r="E17" s="26" t="s">
        <v>131</v>
      </c>
      <c r="F17" s="26" t="s">
        <v>133</v>
      </c>
      <c r="G17" s="589">
        <v>-125</v>
      </c>
      <c r="H17" s="589">
        <v>131</v>
      </c>
      <c r="I17" s="589"/>
      <c r="J17" s="627">
        <v>0</v>
      </c>
      <c r="K17" s="627"/>
      <c r="L17" s="627">
        <f>J17+K17</f>
        <v>0</v>
      </c>
      <c r="M17" s="29"/>
      <c r="N17" s="30">
        <f>L17+M17</f>
        <v>0</v>
      </c>
      <c r="O17" s="32"/>
    </row>
    <row r="18" spans="1:19" ht="30" hidden="1">
      <c r="A18" s="31" t="s">
        <v>130</v>
      </c>
      <c r="B18" s="26" t="s">
        <v>125</v>
      </c>
      <c r="C18" s="26" t="s">
        <v>32</v>
      </c>
      <c r="D18" s="26" t="s">
        <v>28</v>
      </c>
      <c r="E18" s="26" t="s">
        <v>134</v>
      </c>
      <c r="F18" s="26"/>
      <c r="G18" s="589">
        <f t="shared" ref="G18:N18" si="3">G19</f>
        <v>125</v>
      </c>
      <c r="H18" s="589">
        <f t="shared" si="3"/>
        <v>0</v>
      </c>
      <c r="I18" s="589">
        <f t="shared" si="3"/>
        <v>0</v>
      </c>
      <c r="J18" s="627">
        <f t="shared" si="3"/>
        <v>0</v>
      </c>
      <c r="K18" s="627">
        <f t="shared" si="3"/>
        <v>0</v>
      </c>
      <c r="L18" s="627">
        <f t="shared" si="3"/>
        <v>0</v>
      </c>
      <c r="M18" s="29">
        <f t="shared" si="3"/>
        <v>0</v>
      </c>
      <c r="N18" s="30">
        <f t="shared" si="3"/>
        <v>0</v>
      </c>
    </row>
    <row r="19" spans="1:19" ht="30" hidden="1">
      <c r="A19" s="31" t="s">
        <v>135</v>
      </c>
      <c r="B19" s="26" t="s">
        <v>125</v>
      </c>
      <c r="C19" s="26" t="s">
        <v>32</v>
      </c>
      <c r="D19" s="26" t="s">
        <v>28</v>
      </c>
      <c r="E19" s="26" t="s">
        <v>134</v>
      </c>
      <c r="F19" s="26" t="s">
        <v>133</v>
      </c>
      <c r="G19" s="589">
        <v>125</v>
      </c>
      <c r="H19" s="589"/>
      <c r="I19" s="589"/>
      <c r="J19" s="627"/>
      <c r="K19" s="627"/>
      <c r="L19" s="627">
        <f>J19+K19</f>
        <v>0</v>
      </c>
      <c r="M19" s="29"/>
      <c r="N19" s="30">
        <f>L19+M19</f>
        <v>0</v>
      </c>
    </row>
    <row r="20" spans="1:19">
      <c r="A20" s="33" t="s">
        <v>136</v>
      </c>
      <c r="B20" s="34" t="s">
        <v>125</v>
      </c>
      <c r="C20" s="34" t="s">
        <v>47</v>
      </c>
      <c r="D20" s="26"/>
      <c r="E20" s="26"/>
      <c r="F20" s="26"/>
      <c r="G20" s="589">
        <f t="shared" ref="G20:M20" si="4">G21+G40+G83+G60</f>
        <v>749.74423999999999</v>
      </c>
      <c r="H20" s="589">
        <f t="shared" si="4"/>
        <v>37902.199999999997</v>
      </c>
      <c r="I20" s="589">
        <f t="shared" si="4"/>
        <v>0</v>
      </c>
      <c r="J20" s="627">
        <f>J21+J40+J83+J60+J65</f>
        <v>21432.538570000001</v>
      </c>
      <c r="K20" s="627">
        <f>K21+K40+K83+K60+K65</f>
        <v>694.17711999999983</v>
      </c>
      <c r="L20" s="627">
        <f>L21+L40+L83+L60+L65</f>
        <v>22126.715690000001</v>
      </c>
      <c r="M20" s="29">
        <f t="shared" si="4"/>
        <v>-317.84000000000003</v>
      </c>
      <c r="N20" s="30">
        <f>N21+N40+N83+N60</f>
        <v>16242.11</v>
      </c>
    </row>
    <row r="21" spans="1:19" ht="29.25" customHeight="1">
      <c r="A21" s="24" t="s">
        <v>78</v>
      </c>
      <c r="B21" s="25" t="s">
        <v>125</v>
      </c>
      <c r="C21" s="25" t="s">
        <v>47</v>
      </c>
      <c r="D21" s="25" t="s">
        <v>21</v>
      </c>
      <c r="E21" s="26"/>
      <c r="F21" s="26"/>
      <c r="G21" s="587">
        <f>G27+G31+G22</f>
        <v>-5232</v>
      </c>
      <c r="H21" s="587">
        <f>H27+H31+H22</f>
        <v>30796.129999999997</v>
      </c>
      <c r="I21" s="587">
        <f>I27+I31+I22</f>
        <v>0</v>
      </c>
      <c r="J21" s="379">
        <f>J27+J31+J22+J38+J25</f>
        <v>14571.83857</v>
      </c>
      <c r="K21" s="379">
        <f>K27+K31+K22+K38+K25</f>
        <v>870.71311999999989</v>
      </c>
      <c r="L21" s="379">
        <f>L27+L31+L22+L38+L25</f>
        <v>15442.55169</v>
      </c>
      <c r="M21" s="37">
        <f>M27+M31+M22+M38</f>
        <v>-1006.6600000000001</v>
      </c>
      <c r="N21" s="38">
        <f>N27+N31+N22+N38</f>
        <v>11268.126</v>
      </c>
    </row>
    <row r="22" spans="1:19" ht="29.25" hidden="1" customHeight="1">
      <c r="A22" s="39" t="s">
        <v>137</v>
      </c>
      <c r="B22" s="26" t="s">
        <v>125</v>
      </c>
      <c r="C22" s="26" t="s">
        <v>47</v>
      </c>
      <c r="D22" s="26" t="s">
        <v>21</v>
      </c>
      <c r="E22" s="26" t="s">
        <v>138</v>
      </c>
      <c r="F22" s="26"/>
      <c r="G22" s="585">
        <f t="shared" ref="G22:N23" si="5">G23</f>
        <v>320</v>
      </c>
      <c r="H22" s="585">
        <f t="shared" si="5"/>
        <v>0</v>
      </c>
      <c r="I22" s="585">
        <f t="shared" si="5"/>
        <v>0</v>
      </c>
      <c r="J22" s="379">
        <f t="shared" si="5"/>
        <v>0</v>
      </c>
      <c r="K22" s="379">
        <f t="shared" si="5"/>
        <v>0</v>
      </c>
      <c r="L22" s="379">
        <f t="shared" si="5"/>
        <v>0</v>
      </c>
      <c r="M22" s="40">
        <f t="shared" si="5"/>
        <v>0</v>
      </c>
      <c r="N22" s="41">
        <f t="shared" si="5"/>
        <v>0</v>
      </c>
    </row>
    <row r="23" spans="1:19" ht="21.75" hidden="1" customHeight="1">
      <c r="A23" s="39" t="s">
        <v>139</v>
      </c>
      <c r="B23" s="26" t="s">
        <v>125</v>
      </c>
      <c r="C23" s="26" t="s">
        <v>47</v>
      </c>
      <c r="D23" s="26" t="s">
        <v>21</v>
      </c>
      <c r="E23" s="26" t="s">
        <v>140</v>
      </c>
      <c r="F23" s="26"/>
      <c r="G23" s="585">
        <f t="shared" si="5"/>
        <v>320</v>
      </c>
      <c r="H23" s="585">
        <f t="shared" si="5"/>
        <v>0</v>
      </c>
      <c r="I23" s="585">
        <f t="shared" si="5"/>
        <v>0</v>
      </c>
      <c r="J23" s="379">
        <f t="shared" si="5"/>
        <v>0</v>
      </c>
      <c r="K23" s="379">
        <f t="shared" si="5"/>
        <v>0</v>
      </c>
      <c r="L23" s="379">
        <f t="shared" si="5"/>
        <v>0</v>
      </c>
      <c r="M23" s="40">
        <f t="shared" si="5"/>
        <v>0</v>
      </c>
      <c r="N23" s="41">
        <f t="shared" si="5"/>
        <v>0</v>
      </c>
    </row>
    <row r="24" spans="1:19" ht="23.25" hidden="1" customHeight="1">
      <c r="A24" s="31" t="s">
        <v>141</v>
      </c>
      <c r="B24" s="26" t="s">
        <v>125</v>
      </c>
      <c r="C24" s="26" t="s">
        <v>47</v>
      </c>
      <c r="D24" s="26" t="s">
        <v>21</v>
      </c>
      <c r="E24" s="26" t="s">
        <v>140</v>
      </c>
      <c r="F24" s="26" t="s">
        <v>142</v>
      </c>
      <c r="G24" s="585">
        <v>320</v>
      </c>
      <c r="H24" s="589"/>
      <c r="I24" s="585"/>
      <c r="J24" s="627">
        <f>H24+I24</f>
        <v>0</v>
      </c>
      <c r="K24" s="379"/>
      <c r="L24" s="627">
        <f>J24+K24</f>
        <v>0</v>
      </c>
      <c r="M24" s="40"/>
      <c r="N24" s="30">
        <f>L24+M24</f>
        <v>0</v>
      </c>
    </row>
    <row r="25" spans="1:19" ht="90">
      <c r="A25" s="31" t="s">
        <v>1071</v>
      </c>
      <c r="B25" s="26" t="s">
        <v>125</v>
      </c>
      <c r="C25" s="26" t="s">
        <v>47</v>
      </c>
      <c r="D25" s="26" t="s">
        <v>21</v>
      </c>
      <c r="E25" s="26" t="s">
        <v>1070</v>
      </c>
      <c r="F25" s="26"/>
      <c r="G25" s="585"/>
      <c r="H25" s="589"/>
      <c r="I25" s="585"/>
      <c r="J25" s="627">
        <f>J26</f>
        <v>1726.5885699999999</v>
      </c>
      <c r="K25" s="627">
        <f>K26</f>
        <v>694.17711999999995</v>
      </c>
      <c r="L25" s="627">
        <f>L26</f>
        <v>2420.7656899999997</v>
      </c>
      <c r="M25" s="40"/>
      <c r="N25" s="30"/>
    </row>
    <row r="26" spans="1:19" ht="30">
      <c r="A26" s="31" t="s">
        <v>141</v>
      </c>
      <c r="B26" s="26" t="s">
        <v>125</v>
      </c>
      <c r="C26" s="26" t="s">
        <v>47</v>
      </c>
      <c r="D26" s="26" t="s">
        <v>21</v>
      </c>
      <c r="E26" s="26" t="s">
        <v>1070</v>
      </c>
      <c r="F26" s="26" t="s">
        <v>142</v>
      </c>
      <c r="G26" s="585"/>
      <c r="H26" s="589"/>
      <c r="I26" s="585"/>
      <c r="J26" s="627">
        <v>1726.5885699999999</v>
      </c>
      <c r="K26" s="627">
        <v>694.17711999999995</v>
      </c>
      <c r="L26" s="627">
        <f>J26+K26</f>
        <v>2420.7656899999997</v>
      </c>
      <c r="M26" s="40"/>
      <c r="N26" s="30"/>
    </row>
    <row r="27" spans="1:19" ht="30">
      <c r="A27" s="31" t="s">
        <v>143</v>
      </c>
      <c r="B27" s="26" t="s">
        <v>125</v>
      </c>
      <c r="C27" s="26" t="s">
        <v>47</v>
      </c>
      <c r="D27" s="26" t="s">
        <v>21</v>
      </c>
      <c r="E27" s="26" t="s">
        <v>144</v>
      </c>
      <c r="F27" s="26"/>
      <c r="G27" s="147">
        <f t="shared" ref="G27:N27" si="6">G28</f>
        <v>-1834</v>
      </c>
      <c r="H27" s="147">
        <f t="shared" si="6"/>
        <v>26303.19</v>
      </c>
      <c r="I27" s="147">
        <f t="shared" si="6"/>
        <v>0</v>
      </c>
      <c r="J27" s="627">
        <f>J28</f>
        <v>12845.25</v>
      </c>
      <c r="K27" s="627">
        <f t="shared" si="6"/>
        <v>176.536</v>
      </c>
      <c r="L27" s="627">
        <f t="shared" si="6"/>
        <v>13021.786</v>
      </c>
      <c r="M27" s="42">
        <f t="shared" si="6"/>
        <v>-1747.96</v>
      </c>
      <c r="N27" s="43">
        <f t="shared" si="6"/>
        <v>10526.826000000001</v>
      </c>
    </row>
    <row r="28" spans="1:19" ht="30">
      <c r="A28" s="31" t="s">
        <v>145</v>
      </c>
      <c r="B28" s="26" t="s">
        <v>125</v>
      </c>
      <c r="C28" s="26" t="s">
        <v>47</v>
      </c>
      <c r="D28" s="26" t="s">
        <v>21</v>
      </c>
      <c r="E28" s="26" t="s">
        <v>146</v>
      </c>
      <c r="F28" s="26"/>
      <c r="G28" s="147">
        <f t="shared" ref="G28:M28" si="7">G29+G30</f>
        <v>-1834</v>
      </c>
      <c r="H28" s="147">
        <f t="shared" si="7"/>
        <v>26303.19</v>
      </c>
      <c r="I28" s="147">
        <f t="shared" si="7"/>
        <v>0</v>
      </c>
      <c r="J28" s="627">
        <f>J29+J30+J34+J36</f>
        <v>12845.25</v>
      </c>
      <c r="K28" s="627">
        <f>K29+K30+K34+K36</f>
        <v>176.536</v>
      </c>
      <c r="L28" s="627">
        <f>L29+L30+L34+L36</f>
        <v>13021.786</v>
      </c>
      <c r="M28" s="42">
        <f t="shared" si="7"/>
        <v>-1747.96</v>
      </c>
      <c r="N28" s="43">
        <f>N29+N30</f>
        <v>10526.826000000001</v>
      </c>
    </row>
    <row r="29" spans="1:19" ht="30">
      <c r="A29" s="31" t="s">
        <v>141</v>
      </c>
      <c r="B29" s="26" t="s">
        <v>125</v>
      </c>
      <c r="C29" s="26" t="s">
        <v>47</v>
      </c>
      <c r="D29" s="26" t="s">
        <v>21</v>
      </c>
      <c r="E29" s="26" t="s">
        <v>146</v>
      </c>
      <c r="F29" s="26" t="s">
        <v>142</v>
      </c>
      <c r="G29" s="147">
        <f>-2164-3718+200-200+220+3718</f>
        <v>-1944</v>
      </c>
      <c r="H29" s="589">
        <v>25958.19</v>
      </c>
      <c r="I29" s="147"/>
      <c r="J29" s="627">
        <v>7436.25</v>
      </c>
      <c r="K29" s="627">
        <v>176.536</v>
      </c>
      <c r="L29" s="627">
        <f>J29+K29</f>
        <v>7612.7860000000001</v>
      </c>
      <c r="M29" s="42">
        <f>-155.84+35.88-1595-33</f>
        <v>-1747.96</v>
      </c>
      <c r="N29" s="30">
        <f>L29+M29</f>
        <v>5864.826</v>
      </c>
      <c r="O29" s="44">
        <v>6820.25</v>
      </c>
      <c r="P29" s="45">
        <f>L29-O29</f>
        <v>792.53600000000006</v>
      </c>
    </row>
    <row r="30" spans="1:19" ht="60">
      <c r="A30" s="31" t="s">
        <v>147</v>
      </c>
      <c r="B30" s="26" t="s">
        <v>125</v>
      </c>
      <c r="C30" s="26" t="s">
        <v>47</v>
      </c>
      <c r="D30" s="26" t="s">
        <v>21</v>
      </c>
      <c r="E30" s="26" t="s">
        <v>148</v>
      </c>
      <c r="F30" s="26" t="s">
        <v>142</v>
      </c>
      <c r="G30" s="589">
        <v>110</v>
      </c>
      <c r="H30" s="589">
        <v>345</v>
      </c>
      <c r="I30" s="589"/>
      <c r="J30" s="627">
        <v>4662</v>
      </c>
      <c r="K30" s="627"/>
      <c r="L30" s="627">
        <f>J30+K30</f>
        <v>4662</v>
      </c>
      <c r="M30" s="29"/>
      <c r="N30" s="30">
        <f>L30+M30</f>
        <v>4662</v>
      </c>
      <c r="O30" s="11">
        <v>4662</v>
      </c>
      <c r="P30" s="15">
        <f>L30-O30</f>
        <v>0</v>
      </c>
      <c r="S30" s="15">
        <f>L30+L117+L707+L157</f>
        <v>10008.799999999999</v>
      </c>
    </row>
    <row r="31" spans="1:19" ht="24.75" customHeight="1">
      <c r="A31" s="31" t="s">
        <v>149</v>
      </c>
      <c r="B31" s="26" t="s">
        <v>125</v>
      </c>
      <c r="C31" s="26" t="s">
        <v>47</v>
      </c>
      <c r="D31" s="26" t="s">
        <v>21</v>
      </c>
      <c r="E31" s="26" t="s">
        <v>150</v>
      </c>
      <c r="F31" s="26"/>
      <c r="G31" s="589">
        <f t="shared" ref="G31:N32" si="8">G32</f>
        <v>-3718</v>
      </c>
      <c r="H31" s="589">
        <f t="shared" si="8"/>
        <v>4492.9399999999996</v>
      </c>
      <c r="I31" s="589">
        <f t="shared" si="8"/>
        <v>0</v>
      </c>
      <c r="J31" s="627">
        <f t="shared" si="8"/>
        <v>0</v>
      </c>
      <c r="K31" s="627">
        <f t="shared" si="8"/>
        <v>0</v>
      </c>
      <c r="L31" s="627">
        <f t="shared" si="8"/>
        <v>0</v>
      </c>
      <c r="M31" s="29">
        <f t="shared" si="8"/>
        <v>0</v>
      </c>
      <c r="N31" s="30">
        <f t="shared" si="8"/>
        <v>0</v>
      </c>
    </row>
    <row r="32" spans="1:19" ht="21" customHeight="1">
      <c r="A32" s="31" t="s">
        <v>145</v>
      </c>
      <c r="B32" s="26" t="s">
        <v>125</v>
      </c>
      <c r="C32" s="26" t="s">
        <v>47</v>
      </c>
      <c r="D32" s="26" t="s">
        <v>21</v>
      </c>
      <c r="E32" s="26" t="s">
        <v>151</v>
      </c>
      <c r="F32" s="26"/>
      <c r="G32" s="589">
        <f t="shared" si="8"/>
        <v>-3718</v>
      </c>
      <c r="H32" s="589">
        <f t="shared" si="8"/>
        <v>4492.9399999999996</v>
      </c>
      <c r="I32" s="589">
        <f t="shared" si="8"/>
        <v>0</v>
      </c>
      <c r="J32" s="627">
        <f t="shared" si="8"/>
        <v>0</v>
      </c>
      <c r="K32" s="627">
        <f t="shared" si="8"/>
        <v>0</v>
      </c>
      <c r="L32" s="627">
        <f t="shared" si="8"/>
        <v>0</v>
      </c>
      <c r="M32" s="29">
        <f t="shared" si="8"/>
        <v>0</v>
      </c>
      <c r="N32" s="30">
        <f t="shared" si="8"/>
        <v>0</v>
      </c>
    </row>
    <row r="33" spans="1:19" ht="29.25" customHeight="1">
      <c r="A33" s="31" t="s">
        <v>152</v>
      </c>
      <c r="B33" s="26" t="s">
        <v>125</v>
      </c>
      <c r="C33" s="26" t="s">
        <v>47</v>
      </c>
      <c r="D33" s="26" t="s">
        <v>21</v>
      </c>
      <c r="E33" s="26" t="s">
        <v>151</v>
      </c>
      <c r="F33" s="26" t="s">
        <v>142</v>
      </c>
      <c r="G33" s="589">
        <v>-3718</v>
      </c>
      <c r="H33" s="589">
        <v>4492.9399999999996</v>
      </c>
      <c r="I33" s="589"/>
      <c r="J33" s="627"/>
      <c r="K33" s="627"/>
      <c r="L33" s="627">
        <f>J33+K33</f>
        <v>0</v>
      </c>
      <c r="M33" s="29"/>
      <c r="N33" s="30">
        <f>L33+M33</f>
        <v>0</v>
      </c>
    </row>
    <row r="34" spans="1:19" ht="41.25" customHeight="1">
      <c r="A34" s="31" t="s">
        <v>153</v>
      </c>
      <c r="B34" s="26" t="s">
        <v>125</v>
      </c>
      <c r="C34" s="26" t="s">
        <v>47</v>
      </c>
      <c r="D34" s="26" t="s">
        <v>21</v>
      </c>
      <c r="E34" s="26" t="s">
        <v>154</v>
      </c>
      <c r="F34" s="26"/>
      <c r="G34" s="568"/>
      <c r="H34" s="589"/>
      <c r="I34" s="568"/>
      <c r="J34" s="627">
        <f>J35</f>
        <v>747</v>
      </c>
      <c r="K34" s="627">
        <f>K35</f>
        <v>0</v>
      </c>
      <c r="L34" s="627">
        <f>L35</f>
        <v>747</v>
      </c>
      <c r="M34" s="29"/>
      <c r="N34" s="30"/>
      <c r="S34" s="15">
        <f>K35+K52+K120</f>
        <v>-2479.1999999999998</v>
      </c>
    </row>
    <row r="35" spans="1:19" ht="29.25" customHeight="1">
      <c r="A35" s="31" t="s">
        <v>152</v>
      </c>
      <c r="B35" s="26" t="s">
        <v>125</v>
      </c>
      <c r="C35" s="26" t="s">
        <v>47</v>
      </c>
      <c r="D35" s="26" t="s">
        <v>21</v>
      </c>
      <c r="E35" s="26" t="s">
        <v>154</v>
      </c>
      <c r="F35" s="26" t="s">
        <v>142</v>
      </c>
      <c r="G35" s="568"/>
      <c r="H35" s="589"/>
      <c r="I35" s="568"/>
      <c r="J35" s="627">
        <v>747</v>
      </c>
      <c r="K35" s="627"/>
      <c r="L35" s="627">
        <f>J35+K35</f>
        <v>747</v>
      </c>
      <c r="M35" s="29"/>
      <c r="N35" s="30"/>
      <c r="O35" s="44"/>
      <c r="S35" s="15">
        <f>L122</f>
        <v>451.36699999999996</v>
      </c>
    </row>
    <row r="36" spans="1:19" ht="18.75" hidden="1" customHeight="1">
      <c r="A36" s="31" t="s">
        <v>155</v>
      </c>
      <c r="B36" s="26" t="s">
        <v>125</v>
      </c>
      <c r="C36" s="26" t="s">
        <v>47</v>
      </c>
      <c r="D36" s="26" t="s">
        <v>21</v>
      </c>
      <c r="E36" s="26" t="s">
        <v>156</v>
      </c>
      <c r="F36" s="26"/>
      <c r="G36" s="568"/>
      <c r="H36" s="589"/>
      <c r="I36" s="568"/>
      <c r="J36" s="627">
        <f>J37</f>
        <v>0</v>
      </c>
      <c r="K36" s="627">
        <f>K37</f>
        <v>0</v>
      </c>
      <c r="L36" s="627">
        <f>L37</f>
        <v>0</v>
      </c>
      <c r="M36" s="29"/>
      <c r="N36" s="30"/>
    </row>
    <row r="37" spans="1:19" ht="15" hidden="1" customHeight="1">
      <c r="A37" s="31" t="s">
        <v>152</v>
      </c>
      <c r="B37" s="26" t="s">
        <v>125</v>
      </c>
      <c r="C37" s="26" t="s">
        <v>47</v>
      </c>
      <c r="D37" s="26" t="s">
        <v>21</v>
      </c>
      <c r="E37" s="26" t="s">
        <v>156</v>
      </c>
      <c r="F37" s="26" t="s">
        <v>142</v>
      </c>
      <c r="G37" s="568"/>
      <c r="H37" s="589"/>
      <c r="I37" s="568"/>
      <c r="J37" s="627"/>
      <c r="K37" s="627"/>
      <c r="L37" s="628">
        <f>J37+K37</f>
        <v>0</v>
      </c>
      <c r="M37" s="29"/>
      <c r="N37" s="30"/>
    </row>
    <row r="38" spans="1:19" ht="60.75" hidden="1" customHeight="1">
      <c r="A38" s="46" t="s">
        <v>157</v>
      </c>
      <c r="B38" s="47" t="s">
        <v>125</v>
      </c>
      <c r="C38" s="47" t="s">
        <v>47</v>
      </c>
      <c r="D38" s="47" t="s">
        <v>21</v>
      </c>
      <c r="E38" s="47" t="s">
        <v>158</v>
      </c>
      <c r="F38" s="47"/>
      <c r="G38" s="590"/>
      <c r="H38" s="591"/>
      <c r="I38" s="590"/>
      <c r="J38" s="628">
        <f>J39</f>
        <v>0</v>
      </c>
      <c r="K38" s="628">
        <f>K39</f>
        <v>0</v>
      </c>
      <c r="L38" s="628">
        <f>L39</f>
        <v>0</v>
      </c>
      <c r="M38" s="29">
        <f>M39</f>
        <v>741.3</v>
      </c>
      <c r="N38" s="30">
        <f>N39</f>
        <v>741.3</v>
      </c>
    </row>
    <row r="39" spans="1:19" ht="15.75" hidden="1" customHeight="1">
      <c r="A39" s="46" t="s">
        <v>159</v>
      </c>
      <c r="B39" s="47" t="s">
        <v>125</v>
      </c>
      <c r="C39" s="47" t="s">
        <v>47</v>
      </c>
      <c r="D39" s="47" t="s">
        <v>21</v>
      </c>
      <c r="E39" s="47" t="s">
        <v>158</v>
      </c>
      <c r="F39" s="47" t="s">
        <v>160</v>
      </c>
      <c r="G39" s="590"/>
      <c r="H39" s="591"/>
      <c r="I39" s="590"/>
      <c r="J39" s="628"/>
      <c r="K39" s="628"/>
      <c r="L39" s="628">
        <f>J39+K39</f>
        <v>0</v>
      </c>
      <c r="M39" s="48">
        <v>741.3</v>
      </c>
      <c r="N39" s="49">
        <f>L39+M39</f>
        <v>741.3</v>
      </c>
    </row>
    <row r="40" spans="1:19">
      <c r="A40" s="24" t="s">
        <v>79</v>
      </c>
      <c r="B40" s="25" t="s">
        <v>125</v>
      </c>
      <c r="C40" s="25" t="s">
        <v>47</v>
      </c>
      <c r="D40" s="25" t="s">
        <v>22</v>
      </c>
      <c r="E40" s="26"/>
      <c r="F40" s="26"/>
      <c r="G40" s="206">
        <f>G48+G57+G42</f>
        <v>3129.74424</v>
      </c>
      <c r="H40" s="206">
        <f>H48+H57+H42</f>
        <v>6056.41</v>
      </c>
      <c r="I40" s="206">
        <f>I48+I57+I42</f>
        <v>0</v>
      </c>
      <c r="J40" s="488">
        <f>J48+J57+J42+J55</f>
        <v>5310.8</v>
      </c>
      <c r="K40" s="488">
        <f>K48+K57+K42+K55</f>
        <v>-176.536</v>
      </c>
      <c r="L40" s="488">
        <f>L48+L57+L42+L55</f>
        <v>5134.2640000000001</v>
      </c>
      <c r="M40" s="52">
        <f>M48+M57+M42+M55</f>
        <v>657.7</v>
      </c>
      <c r="N40" s="53">
        <f>N48+N57+N42+N55</f>
        <v>4192.9639999999999</v>
      </c>
    </row>
    <row r="41" spans="1:19" ht="30">
      <c r="A41" s="31" t="s">
        <v>149</v>
      </c>
      <c r="B41" s="26" t="s">
        <v>125</v>
      </c>
      <c r="C41" s="26" t="s">
        <v>47</v>
      </c>
      <c r="D41" s="26" t="s">
        <v>22</v>
      </c>
      <c r="E41" s="26" t="s">
        <v>150</v>
      </c>
      <c r="F41" s="26"/>
      <c r="G41" s="206">
        <f t="shared" ref="G41:N42" si="9">G42</f>
        <v>3718</v>
      </c>
      <c r="H41" s="206">
        <f t="shared" si="9"/>
        <v>0</v>
      </c>
      <c r="I41" s="206">
        <f t="shared" si="9"/>
        <v>0</v>
      </c>
      <c r="J41" s="627">
        <f t="shared" si="9"/>
        <v>390</v>
      </c>
      <c r="K41" s="627">
        <f t="shared" si="9"/>
        <v>0</v>
      </c>
      <c r="L41" s="627">
        <f t="shared" si="9"/>
        <v>390</v>
      </c>
      <c r="M41" s="28">
        <f t="shared" si="9"/>
        <v>163</v>
      </c>
      <c r="N41" s="55">
        <f t="shared" si="9"/>
        <v>553</v>
      </c>
    </row>
    <row r="42" spans="1:19" ht="30">
      <c r="A42" s="31" t="s">
        <v>145</v>
      </c>
      <c r="B42" s="26" t="s">
        <v>125</v>
      </c>
      <c r="C42" s="26" t="s">
        <v>47</v>
      </c>
      <c r="D42" s="26" t="s">
        <v>22</v>
      </c>
      <c r="E42" s="26" t="s">
        <v>151</v>
      </c>
      <c r="F42" s="26"/>
      <c r="G42" s="568">
        <f t="shared" si="9"/>
        <v>3718</v>
      </c>
      <c r="H42" s="207">
        <f t="shared" si="9"/>
        <v>0</v>
      </c>
      <c r="I42" s="568">
        <f t="shared" si="9"/>
        <v>0</v>
      </c>
      <c r="J42" s="627">
        <f>J43+J44+J46</f>
        <v>390</v>
      </c>
      <c r="K42" s="627">
        <f>K43+K44+K46</f>
        <v>0</v>
      </c>
      <c r="L42" s="627">
        <f>L43+L44+L46</f>
        <v>390</v>
      </c>
      <c r="M42" s="42">
        <f t="shared" si="9"/>
        <v>163</v>
      </c>
      <c r="N42" s="30">
        <f t="shared" si="9"/>
        <v>553</v>
      </c>
    </row>
    <row r="43" spans="1:19" ht="30">
      <c r="A43" s="31" t="s">
        <v>152</v>
      </c>
      <c r="B43" s="26" t="s">
        <v>125</v>
      </c>
      <c r="C43" s="26" t="s">
        <v>47</v>
      </c>
      <c r="D43" s="26" t="s">
        <v>22</v>
      </c>
      <c r="E43" s="26" t="s">
        <v>151</v>
      </c>
      <c r="F43" s="26" t="s">
        <v>142</v>
      </c>
      <c r="G43" s="568">
        <v>3718</v>
      </c>
      <c r="H43" s="589"/>
      <c r="I43" s="568"/>
      <c r="J43" s="627">
        <v>390</v>
      </c>
      <c r="K43" s="627"/>
      <c r="L43" s="627">
        <f>J43+K43</f>
        <v>390</v>
      </c>
      <c r="M43" s="42">
        <f>16+147</f>
        <v>163</v>
      </c>
      <c r="N43" s="30">
        <f>L43+M43</f>
        <v>553</v>
      </c>
      <c r="O43" s="56">
        <v>390</v>
      </c>
      <c r="P43" s="45">
        <f>L43-O43</f>
        <v>0</v>
      </c>
    </row>
    <row r="44" spans="1:19" ht="45" hidden="1">
      <c r="A44" s="31" t="s">
        <v>153</v>
      </c>
      <c r="B44" s="26" t="s">
        <v>125</v>
      </c>
      <c r="C44" s="26" t="s">
        <v>47</v>
      </c>
      <c r="D44" s="26" t="s">
        <v>22</v>
      </c>
      <c r="E44" s="26" t="s">
        <v>161</v>
      </c>
      <c r="F44" s="26"/>
      <c r="G44" s="568"/>
      <c r="H44" s="589"/>
      <c r="I44" s="568"/>
      <c r="J44" s="627">
        <f>J45</f>
        <v>0</v>
      </c>
      <c r="K44" s="627">
        <f>K45</f>
        <v>0</v>
      </c>
      <c r="L44" s="627">
        <f>L45</f>
        <v>0</v>
      </c>
      <c r="M44" s="42"/>
      <c r="N44" s="30"/>
    </row>
    <row r="45" spans="1:19" ht="30" hidden="1">
      <c r="A45" s="31" t="s">
        <v>152</v>
      </c>
      <c r="B45" s="26" t="s">
        <v>125</v>
      </c>
      <c r="C45" s="26" t="s">
        <v>47</v>
      </c>
      <c r="D45" s="26" t="s">
        <v>22</v>
      </c>
      <c r="E45" s="26" t="s">
        <v>161</v>
      </c>
      <c r="F45" s="26" t="s">
        <v>142</v>
      </c>
      <c r="G45" s="568"/>
      <c r="H45" s="589"/>
      <c r="I45" s="568"/>
      <c r="J45" s="627"/>
      <c r="K45" s="627"/>
      <c r="L45" s="627">
        <f>J45+K45</f>
        <v>0</v>
      </c>
      <c r="M45" s="42"/>
      <c r="N45" s="30"/>
    </row>
    <row r="46" spans="1:19" ht="45" hidden="1">
      <c r="A46" s="31" t="s">
        <v>155</v>
      </c>
      <c r="B46" s="26" t="s">
        <v>125</v>
      </c>
      <c r="C46" s="26" t="s">
        <v>47</v>
      </c>
      <c r="D46" s="26" t="s">
        <v>22</v>
      </c>
      <c r="E46" s="26" t="s">
        <v>162</v>
      </c>
      <c r="F46" s="26"/>
      <c r="G46" s="568"/>
      <c r="H46" s="589"/>
      <c r="I46" s="568"/>
      <c r="J46" s="627">
        <f>J47</f>
        <v>0</v>
      </c>
      <c r="K46" s="627">
        <f>K47</f>
        <v>0</v>
      </c>
      <c r="L46" s="627">
        <f>L47</f>
        <v>0</v>
      </c>
      <c r="M46" s="42"/>
      <c r="N46" s="30"/>
    </row>
    <row r="47" spans="1:19" ht="32.25" customHeight="1">
      <c r="A47" s="31" t="s">
        <v>152</v>
      </c>
      <c r="B47" s="26" t="s">
        <v>125</v>
      </c>
      <c r="C47" s="26" t="s">
        <v>47</v>
      </c>
      <c r="D47" s="26" t="s">
        <v>22</v>
      </c>
      <c r="E47" s="26" t="s">
        <v>162</v>
      </c>
      <c r="F47" s="26" t="s">
        <v>142</v>
      </c>
      <c r="G47" s="568"/>
      <c r="H47" s="589"/>
      <c r="I47" s="568"/>
      <c r="J47" s="627"/>
      <c r="K47" s="627"/>
      <c r="L47" s="627">
        <f>J47+K47</f>
        <v>0</v>
      </c>
      <c r="M47" s="42"/>
      <c r="N47" s="30"/>
    </row>
    <row r="48" spans="1:19">
      <c r="A48" s="31" t="s">
        <v>163</v>
      </c>
      <c r="B48" s="26" t="s">
        <v>125</v>
      </c>
      <c r="C48" s="26" t="s">
        <v>47</v>
      </c>
      <c r="D48" s="26" t="s">
        <v>22</v>
      </c>
      <c r="E48" s="26" t="s">
        <v>164</v>
      </c>
      <c r="F48" s="26"/>
      <c r="G48" s="592">
        <f t="shared" ref="G48:N49" si="10">G49</f>
        <v>0</v>
      </c>
      <c r="H48" s="592">
        <f t="shared" si="10"/>
        <v>4784.91</v>
      </c>
      <c r="I48" s="592">
        <f t="shared" si="10"/>
        <v>0</v>
      </c>
      <c r="J48" s="627">
        <f>J49+J51+J53</f>
        <v>2717</v>
      </c>
      <c r="K48" s="627">
        <f>K49+K51+K53</f>
        <v>-176.536</v>
      </c>
      <c r="L48" s="627">
        <f>L49+L51+L53</f>
        <v>2540.4639999999999</v>
      </c>
      <c r="M48" s="28">
        <f t="shared" si="10"/>
        <v>1270</v>
      </c>
      <c r="N48" s="55">
        <f t="shared" si="10"/>
        <v>2211.4639999999999</v>
      </c>
    </row>
    <row r="49" spans="1:19" ht="30">
      <c r="A49" s="31" t="s">
        <v>145</v>
      </c>
      <c r="B49" s="26" t="s">
        <v>125</v>
      </c>
      <c r="C49" s="26" t="s">
        <v>47</v>
      </c>
      <c r="D49" s="26" t="s">
        <v>22</v>
      </c>
      <c r="E49" s="26" t="s">
        <v>165</v>
      </c>
      <c r="F49" s="26"/>
      <c r="G49" s="147">
        <f t="shared" si="10"/>
        <v>0</v>
      </c>
      <c r="H49" s="147">
        <f t="shared" si="10"/>
        <v>4784.91</v>
      </c>
      <c r="I49" s="147">
        <f t="shared" si="10"/>
        <v>0</v>
      </c>
      <c r="J49" s="627">
        <f t="shared" si="10"/>
        <v>1118</v>
      </c>
      <c r="K49" s="627">
        <f t="shared" si="10"/>
        <v>-176.536</v>
      </c>
      <c r="L49" s="627">
        <f t="shared" si="10"/>
        <v>941.46399999999994</v>
      </c>
      <c r="M49" s="42">
        <f t="shared" si="10"/>
        <v>1270</v>
      </c>
      <c r="N49" s="43">
        <f t="shared" si="10"/>
        <v>2211.4639999999999</v>
      </c>
    </row>
    <row r="50" spans="1:19" ht="30">
      <c r="A50" s="31" t="s">
        <v>152</v>
      </c>
      <c r="B50" s="26" t="s">
        <v>125</v>
      </c>
      <c r="C50" s="26" t="s">
        <v>47</v>
      </c>
      <c r="D50" s="26" t="s">
        <v>22</v>
      </c>
      <c r="E50" s="26" t="s">
        <v>165</v>
      </c>
      <c r="F50" s="26" t="s">
        <v>142</v>
      </c>
      <c r="G50" s="147"/>
      <c r="H50" s="589">
        <v>4784.91</v>
      </c>
      <c r="I50" s="147"/>
      <c r="J50" s="627">
        <v>1118</v>
      </c>
      <c r="K50" s="627">
        <v>-176.536</v>
      </c>
      <c r="L50" s="627">
        <f>J50+K50</f>
        <v>941.46399999999994</v>
      </c>
      <c r="M50" s="42">
        <f>127+1143</f>
        <v>1270</v>
      </c>
      <c r="N50" s="30">
        <f>L50+M50</f>
        <v>2211.4639999999999</v>
      </c>
      <c r="O50" s="44">
        <v>655</v>
      </c>
      <c r="P50" s="45">
        <f>L50-O50</f>
        <v>286.46399999999994</v>
      </c>
    </row>
    <row r="51" spans="1:19" ht="45">
      <c r="A51" s="31" t="s">
        <v>153</v>
      </c>
      <c r="B51" s="26" t="s">
        <v>125</v>
      </c>
      <c r="C51" s="26" t="s">
        <v>47</v>
      </c>
      <c r="D51" s="26" t="s">
        <v>22</v>
      </c>
      <c r="E51" s="26" t="s">
        <v>166</v>
      </c>
      <c r="F51" s="26"/>
      <c r="G51" s="147"/>
      <c r="H51" s="589"/>
      <c r="I51" s="147"/>
      <c r="J51" s="627">
        <f>J52</f>
        <v>1599</v>
      </c>
      <c r="K51" s="627">
        <f>K52</f>
        <v>0</v>
      </c>
      <c r="L51" s="627">
        <f>L52</f>
        <v>1599</v>
      </c>
      <c r="M51" s="42"/>
      <c r="N51" s="30"/>
    </row>
    <row r="52" spans="1:19" ht="30">
      <c r="A52" s="31" t="s">
        <v>152</v>
      </c>
      <c r="B52" s="26" t="s">
        <v>125</v>
      </c>
      <c r="C52" s="26" t="s">
        <v>47</v>
      </c>
      <c r="D52" s="26" t="s">
        <v>22</v>
      </c>
      <c r="E52" s="26" t="s">
        <v>166</v>
      </c>
      <c r="F52" s="26" t="s">
        <v>142</v>
      </c>
      <c r="G52" s="147"/>
      <c r="H52" s="589"/>
      <c r="I52" s="147"/>
      <c r="J52" s="627">
        <v>1599</v>
      </c>
      <c r="K52" s="627"/>
      <c r="L52" s="627">
        <f>J52+K52</f>
        <v>1599</v>
      </c>
      <c r="M52" s="42"/>
      <c r="N52" s="30"/>
      <c r="O52" s="44"/>
    </row>
    <row r="53" spans="1:19" ht="45" hidden="1">
      <c r="A53" s="31" t="s">
        <v>155</v>
      </c>
      <c r="B53" s="26" t="s">
        <v>125</v>
      </c>
      <c r="C53" s="26" t="s">
        <v>47</v>
      </c>
      <c r="D53" s="26" t="s">
        <v>22</v>
      </c>
      <c r="E53" s="26" t="s">
        <v>167</v>
      </c>
      <c r="F53" s="26"/>
      <c r="G53" s="147"/>
      <c r="H53" s="589"/>
      <c r="I53" s="147"/>
      <c r="J53" s="627">
        <f>J54</f>
        <v>0</v>
      </c>
      <c r="K53" s="627">
        <f>K54</f>
        <v>0</v>
      </c>
      <c r="L53" s="627">
        <f>L54</f>
        <v>0</v>
      </c>
      <c r="M53" s="42"/>
      <c r="N53" s="30"/>
    </row>
    <row r="54" spans="1:19" ht="30" hidden="1">
      <c r="A54" s="31" t="s">
        <v>152</v>
      </c>
      <c r="B54" s="26" t="s">
        <v>125</v>
      </c>
      <c r="C54" s="26" t="s">
        <v>47</v>
      </c>
      <c r="D54" s="26" t="s">
        <v>22</v>
      </c>
      <c r="E54" s="26" t="s">
        <v>167</v>
      </c>
      <c r="F54" s="26" t="s">
        <v>142</v>
      </c>
      <c r="G54" s="147"/>
      <c r="H54" s="589"/>
      <c r="I54" s="147"/>
      <c r="J54" s="627"/>
      <c r="K54" s="627"/>
      <c r="L54" s="627">
        <f>J54+K54</f>
        <v>0</v>
      </c>
      <c r="M54" s="42"/>
      <c r="N54" s="30"/>
    </row>
    <row r="55" spans="1:19" ht="12.75" hidden="1" customHeight="1">
      <c r="A55" s="31" t="s">
        <v>168</v>
      </c>
      <c r="B55" s="26" t="s">
        <v>125</v>
      </c>
      <c r="C55" s="26" t="s">
        <v>47</v>
      </c>
      <c r="D55" s="26" t="s">
        <v>22</v>
      </c>
      <c r="E55" s="26" t="s">
        <v>169</v>
      </c>
      <c r="F55" s="26"/>
      <c r="G55" s="147"/>
      <c r="H55" s="589"/>
      <c r="I55" s="147"/>
      <c r="J55" s="627">
        <f>J56</f>
        <v>0</v>
      </c>
      <c r="K55" s="627">
        <f>K56</f>
        <v>0</v>
      </c>
      <c r="L55" s="627">
        <f>L56</f>
        <v>0</v>
      </c>
      <c r="M55" s="29">
        <f>M56</f>
        <v>-741.3</v>
      </c>
      <c r="N55" s="30">
        <f>N56</f>
        <v>-741.3</v>
      </c>
    </row>
    <row r="56" spans="1:19" ht="12.75" hidden="1" customHeight="1">
      <c r="A56" s="31" t="s">
        <v>152</v>
      </c>
      <c r="B56" s="26" t="s">
        <v>125</v>
      </c>
      <c r="C56" s="26" t="s">
        <v>47</v>
      </c>
      <c r="D56" s="26" t="s">
        <v>22</v>
      </c>
      <c r="E56" s="26" t="s">
        <v>169</v>
      </c>
      <c r="F56" s="26" t="s">
        <v>142</v>
      </c>
      <c r="G56" s="147"/>
      <c r="H56" s="589"/>
      <c r="I56" s="147"/>
      <c r="J56" s="627"/>
      <c r="K56" s="627"/>
      <c r="L56" s="627">
        <f>J56+K56</f>
        <v>0</v>
      </c>
      <c r="M56" s="42">
        <v>-741.3</v>
      </c>
      <c r="N56" s="30">
        <f>L56+M56</f>
        <v>-741.3</v>
      </c>
    </row>
    <row r="57" spans="1:19" ht="30">
      <c r="A57" s="31" t="s">
        <v>170</v>
      </c>
      <c r="B57" s="26" t="s">
        <v>125</v>
      </c>
      <c r="C57" s="26" t="s">
        <v>47</v>
      </c>
      <c r="D57" s="26" t="s">
        <v>22</v>
      </c>
      <c r="E57" s="26" t="s">
        <v>171</v>
      </c>
      <c r="F57" s="26"/>
      <c r="G57" s="592">
        <f t="shared" ref="G57:N58" si="11">G58</f>
        <v>-588.25576000000001</v>
      </c>
      <c r="H57" s="592">
        <f t="shared" si="11"/>
        <v>1271.5</v>
      </c>
      <c r="I57" s="592">
        <f t="shared" si="11"/>
        <v>0</v>
      </c>
      <c r="J57" s="627">
        <f t="shared" si="11"/>
        <v>2203.8000000000002</v>
      </c>
      <c r="K57" s="627">
        <f t="shared" si="11"/>
        <v>0</v>
      </c>
      <c r="L57" s="627">
        <f t="shared" si="11"/>
        <v>2203.8000000000002</v>
      </c>
      <c r="M57" s="28">
        <f t="shared" si="11"/>
        <v>-34</v>
      </c>
      <c r="N57" s="55">
        <f t="shared" si="11"/>
        <v>2169.8000000000002</v>
      </c>
    </row>
    <row r="58" spans="1:19" ht="75">
      <c r="A58" s="31" t="s">
        <v>172</v>
      </c>
      <c r="B58" s="26" t="s">
        <v>125</v>
      </c>
      <c r="C58" s="26" t="s">
        <v>47</v>
      </c>
      <c r="D58" s="26" t="s">
        <v>22</v>
      </c>
      <c r="E58" s="26" t="s">
        <v>173</v>
      </c>
      <c r="F58" s="26"/>
      <c r="G58" s="592">
        <f t="shared" si="11"/>
        <v>-588.25576000000001</v>
      </c>
      <c r="H58" s="592">
        <f t="shared" si="11"/>
        <v>1271.5</v>
      </c>
      <c r="I58" s="592">
        <f t="shared" si="11"/>
        <v>0</v>
      </c>
      <c r="J58" s="627">
        <f t="shared" si="11"/>
        <v>2203.8000000000002</v>
      </c>
      <c r="K58" s="627">
        <f t="shared" si="11"/>
        <v>0</v>
      </c>
      <c r="L58" s="627">
        <f t="shared" si="11"/>
        <v>2203.8000000000002</v>
      </c>
      <c r="M58" s="28">
        <f t="shared" si="11"/>
        <v>-34</v>
      </c>
      <c r="N58" s="55">
        <f t="shared" si="11"/>
        <v>2169.8000000000002</v>
      </c>
    </row>
    <row r="59" spans="1:19" ht="30">
      <c r="A59" s="31" t="s">
        <v>152</v>
      </c>
      <c r="B59" s="26" t="s">
        <v>125</v>
      </c>
      <c r="C59" s="26" t="s">
        <v>47</v>
      </c>
      <c r="D59" s="26" t="s">
        <v>22</v>
      </c>
      <c r="E59" s="26" t="s">
        <v>173</v>
      </c>
      <c r="F59" s="26" t="s">
        <v>142</v>
      </c>
      <c r="G59" s="592">
        <f>99.74424-688</f>
        <v>-588.25576000000001</v>
      </c>
      <c r="H59" s="589">
        <v>1271.5</v>
      </c>
      <c r="I59" s="592"/>
      <c r="J59" s="627">
        <v>2203.8000000000002</v>
      </c>
      <c r="K59" s="627"/>
      <c r="L59" s="627">
        <f>J59+K59</f>
        <v>2203.8000000000002</v>
      </c>
      <c r="M59" s="28">
        <v>-34</v>
      </c>
      <c r="N59" s="58">
        <f>L59+M59</f>
        <v>2169.8000000000002</v>
      </c>
      <c r="O59" s="11">
        <f>2322.3-118.5</f>
        <v>2203.8000000000002</v>
      </c>
      <c r="P59" s="15">
        <f>K59</f>
        <v>0</v>
      </c>
    </row>
    <row r="60" spans="1:19">
      <c r="A60" s="24" t="s">
        <v>80</v>
      </c>
      <c r="B60" s="25" t="s">
        <v>125</v>
      </c>
      <c r="C60" s="25" t="s">
        <v>47</v>
      </c>
      <c r="D60" s="25" t="s">
        <v>26</v>
      </c>
      <c r="E60" s="25"/>
      <c r="F60" s="25"/>
      <c r="G60" s="568">
        <f t="shared" ref="G60:M60" si="12">G61+G63</f>
        <v>2852</v>
      </c>
      <c r="H60" s="568">
        <f t="shared" si="12"/>
        <v>0</v>
      </c>
      <c r="I60" s="568">
        <f t="shared" si="12"/>
        <v>0</v>
      </c>
      <c r="J60" s="488">
        <f t="shared" si="12"/>
        <v>749.9</v>
      </c>
      <c r="K60" s="488">
        <f t="shared" si="12"/>
        <v>0</v>
      </c>
      <c r="L60" s="488">
        <f t="shared" si="12"/>
        <v>749.9</v>
      </c>
      <c r="M60" s="42">
        <f t="shared" si="12"/>
        <v>-1.8800000000000026</v>
      </c>
      <c r="N60" s="43">
        <f>N61+N63</f>
        <v>748.02</v>
      </c>
    </row>
    <row r="61" spans="1:19" ht="30">
      <c r="A61" s="31" t="s">
        <v>145</v>
      </c>
      <c r="B61" s="26" t="s">
        <v>125</v>
      </c>
      <c r="C61" s="26" t="s">
        <v>47</v>
      </c>
      <c r="D61" s="26" t="s">
        <v>26</v>
      </c>
      <c r="E61" s="26" t="s">
        <v>146</v>
      </c>
      <c r="F61" s="26"/>
      <c r="G61" s="147">
        <f t="shared" ref="G61:N61" si="13">G62</f>
        <v>2164</v>
      </c>
      <c r="H61" s="147">
        <f t="shared" si="13"/>
        <v>0</v>
      </c>
      <c r="I61" s="147">
        <f t="shared" si="13"/>
        <v>0</v>
      </c>
      <c r="J61" s="627">
        <f t="shared" si="13"/>
        <v>70</v>
      </c>
      <c r="K61" s="627">
        <f t="shared" si="13"/>
        <v>0</v>
      </c>
      <c r="L61" s="627">
        <f t="shared" si="13"/>
        <v>70</v>
      </c>
      <c r="M61" s="42">
        <f t="shared" si="13"/>
        <v>-35.880000000000003</v>
      </c>
      <c r="N61" s="30">
        <f t="shared" si="13"/>
        <v>34.119999999999997</v>
      </c>
    </row>
    <row r="62" spans="1:19" ht="30">
      <c r="A62" s="31" t="s">
        <v>141</v>
      </c>
      <c r="B62" s="26" t="s">
        <v>125</v>
      </c>
      <c r="C62" s="26" t="s">
        <v>47</v>
      </c>
      <c r="D62" s="26" t="s">
        <v>26</v>
      </c>
      <c r="E62" s="26" t="s">
        <v>146</v>
      </c>
      <c r="F62" s="26" t="s">
        <v>142</v>
      </c>
      <c r="G62" s="147">
        <v>2164</v>
      </c>
      <c r="H62" s="589"/>
      <c r="I62" s="147"/>
      <c r="J62" s="627">
        <v>70</v>
      </c>
      <c r="K62" s="627"/>
      <c r="L62" s="627">
        <f>J62+K62</f>
        <v>70</v>
      </c>
      <c r="M62" s="42">
        <v>-35.880000000000003</v>
      </c>
      <c r="N62" s="30">
        <f>L62+M62</f>
        <v>34.119999999999997</v>
      </c>
      <c r="O62" s="44">
        <v>70</v>
      </c>
      <c r="P62" s="45">
        <f>L62-O62</f>
        <v>0</v>
      </c>
    </row>
    <row r="63" spans="1:19" ht="75">
      <c r="A63" s="31" t="s">
        <v>172</v>
      </c>
      <c r="B63" s="26" t="s">
        <v>125</v>
      </c>
      <c r="C63" s="26" t="s">
        <v>47</v>
      </c>
      <c r="D63" s="26" t="s">
        <v>26</v>
      </c>
      <c r="E63" s="26" t="s">
        <v>173</v>
      </c>
      <c r="F63" s="26"/>
      <c r="G63" s="147">
        <f t="shared" ref="G63:N63" si="14">G64</f>
        <v>688</v>
      </c>
      <c r="H63" s="589">
        <f t="shared" si="14"/>
        <v>0</v>
      </c>
      <c r="I63" s="147">
        <f t="shared" si="14"/>
        <v>0</v>
      </c>
      <c r="J63" s="627">
        <f t="shared" si="14"/>
        <v>679.9</v>
      </c>
      <c r="K63" s="627">
        <f t="shared" si="14"/>
        <v>0</v>
      </c>
      <c r="L63" s="627">
        <f t="shared" si="14"/>
        <v>679.9</v>
      </c>
      <c r="M63" s="42">
        <f t="shared" si="14"/>
        <v>34</v>
      </c>
      <c r="N63" s="30">
        <f t="shared" si="14"/>
        <v>713.9</v>
      </c>
    </row>
    <row r="64" spans="1:19" ht="30">
      <c r="A64" s="31" t="s">
        <v>152</v>
      </c>
      <c r="B64" s="26" t="s">
        <v>125</v>
      </c>
      <c r="C64" s="26" t="s">
        <v>47</v>
      </c>
      <c r="D64" s="26" t="s">
        <v>26</v>
      </c>
      <c r="E64" s="26" t="s">
        <v>173</v>
      </c>
      <c r="F64" s="26" t="s">
        <v>142</v>
      </c>
      <c r="G64" s="147">
        <v>688</v>
      </c>
      <c r="H64" s="589"/>
      <c r="I64" s="147"/>
      <c r="J64" s="627">
        <v>679.9</v>
      </c>
      <c r="K64" s="627"/>
      <c r="L64" s="627">
        <f>J64+K64</f>
        <v>679.9</v>
      </c>
      <c r="M64" s="42">
        <v>34</v>
      </c>
      <c r="N64" s="30">
        <f>L64+M64</f>
        <v>713.9</v>
      </c>
      <c r="O64" s="11">
        <v>679.9</v>
      </c>
      <c r="P64" s="15">
        <f>K64</f>
        <v>0</v>
      </c>
      <c r="R64" s="11">
        <f>O64+O59</f>
        <v>2883.7000000000003</v>
      </c>
      <c r="S64" s="15">
        <f>L64+L59</f>
        <v>2883.7000000000003</v>
      </c>
    </row>
    <row r="65" spans="1:19" ht="29.25">
      <c r="A65" s="24" t="s">
        <v>83</v>
      </c>
      <c r="B65" s="25" t="s">
        <v>125</v>
      </c>
      <c r="C65" s="25" t="s">
        <v>47</v>
      </c>
      <c r="D65" s="25" t="s">
        <v>47</v>
      </c>
      <c r="E65" s="25"/>
      <c r="F65" s="25"/>
      <c r="G65" s="568">
        <f t="shared" ref="G65:L67" si="15">G66</f>
        <v>0</v>
      </c>
      <c r="H65" s="568">
        <f t="shared" si="15"/>
        <v>1049.6600000000001</v>
      </c>
      <c r="I65" s="568">
        <f t="shared" si="15"/>
        <v>0</v>
      </c>
      <c r="J65" s="488">
        <f>J66+J71+J75+J77+J73+J79+J81</f>
        <v>800</v>
      </c>
      <c r="K65" s="488">
        <f>K66+K71+K75+K77+K73</f>
        <v>0</v>
      </c>
      <c r="L65" s="488">
        <f>L66+L71+L75+L77+L73+L79+L81</f>
        <v>800</v>
      </c>
      <c r="M65" s="42"/>
      <c r="N65" s="61"/>
    </row>
    <row r="66" spans="1:19" ht="45" hidden="1">
      <c r="A66" s="31" t="s">
        <v>174</v>
      </c>
      <c r="B66" s="26" t="s">
        <v>125</v>
      </c>
      <c r="C66" s="26" t="s">
        <v>47</v>
      </c>
      <c r="D66" s="26" t="s">
        <v>47</v>
      </c>
      <c r="E66" s="26" t="s">
        <v>175</v>
      </c>
      <c r="F66" s="26"/>
      <c r="G66" s="147">
        <f t="shared" si="15"/>
        <v>0</v>
      </c>
      <c r="H66" s="147">
        <f t="shared" si="15"/>
        <v>1049.6600000000001</v>
      </c>
      <c r="I66" s="147">
        <f t="shared" si="15"/>
        <v>0</v>
      </c>
      <c r="J66" s="627">
        <f t="shared" si="15"/>
        <v>0</v>
      </c>
      <c r="K66" s="627">
        <f t="shared" si="15"/>
        <v>0</v>
      </c>
      <c r="L66" s="627">
        <f t="shared" si="15"/>
        <v>0</v>
      </c>
      <c r="M66" s="42"/>
      <c r="N66" s="61"/>
    </row>
    <row r="67" spans="1:19" ht="30" hidden="1">
      <c r="A67" s="31" t="s">
        <v>145</v>
      </c>
      <c r="B67" s="26" t="s">
        <v>125</v>
      </c>
      <c r="C67" s="26" t="s">
        <v>47</v>
      </c>
      <c r="D67" s="26" t="s">
        <v>47</v>
      </c>
      <c r="E67" s="26" t="s">
        <v>176</v>
      </c>
      <c r="F67" s="26"/>
      <c r="G67" s="147">
        <f t="shared" si="15"/>
        <v>0</v>
      </c>
      <c r="H67" s="147">
        <f t="shared" si="15"/>
        <v>1049.6600000000001</v>
      </c>
      <c r="I67" s="147">
        <f t="shared" si="15"/>
        <v>0</v>
      </c>
      <c r="J67" s="627">
        <f t="shared" si="15"/>
        <v>0</v>
      </c>
      <c r="K67" s="627">
        <f t="shared" si="15"/>
        <v>0</v>
      </c>
      <c r="L67" s="627">
        <f t="shared" si="15"/>
        <v>0</v>
      </c>
      <c r="M67" s="42"/>
      <c r="N67" s="61"/>
    </row>
    <row r="68" spans="1:19" ht="30" hidden="1">
      <c r="A68" s="31" t="s">
        <v>152</v>
      </c>
      <c r="B68" s="26" t="s">
        <v>125</v>
      </c>
      <c r="C68" s="26" t="s">
        <v>47</v>
      </c>
      <c r="D68" s="26" t="s">
        <v>47</v>
      </c>
      <c r="E68" s="26" t="s">
        <v>176</v>
      </c>
      <c r="F68" s="26" t="s">
        <v>142</v>
      </c>
      <c r="G68" s="67"/>
      <c r="H68" s="66">
        <v>1049.6600000000001</v>
      </c>
      <c r="I68" s="67"/>
      <c r="J68" s="627"/>
      <c r="K68" s="627"/>
      <c r="L68" s="627">
        <f>J68+K68</f>
        <v>0</v>
      </c>
      <c r="M68" s="42"/>
      <c r="N68" s="61"/>
    </row>
    <row r="69" spans="1:19" ht="60" hidden="1">
      <c r="A69" s="62" t="s">
        <v>177</v>
      </c>
      <c r="B69" s="63" t="s">
        <v>125</v>
      </c>
      <c r="C69" s="64" t="s">
        <v>47</v>
      </c>
      <c r="D69" s="64" t="s">
        <v>47</v>
      </c>
      <c r="E69" s="65">
        <v>7952014</v>
      </c>
      <c r="F69" s="64"/>
      <c r="G69" s="64"/>
      <c r="H69" s="66"/>
      <c r="I69" s="67"/>
      <c r="J69" s="627">
        <f>J70</f>
        <v>0</v>
      </c>
      <c r="K69" s="627">
        <f>K70</f>
        <v>0</v>
      </c>
      <c r="L69" s="627">
        <f>L70</f>
        <v>0</v>
      </c>
      <c r="M69" s="42"/>
      <c r="N69" s="61"/>
    </row>
    <row r="70" spans="1:19" ht="30" hidden="1">
      <c r="A70" s="31" t="s">
        <v>135</v>
      </c>
      <c r="B70" s="64" t="s">
        <v>125</v>
      </c>
      <c r="C70" s="64" t="s">
        <v>47</v>
      </c>
      <c r="D70" s="64" t="s">
        <v>47</v>
      </c>
      <c r="E70" s="65">
        <v>7952014</v>
      </c>
      <c r="F70" s="64" t="s">
        <v>133</v>
      </c>
      <c r="G70" s="67"/>
      <c r="H70" s="66"/>
      <c r="I70" s="67"/>
      <c r="J70" s="627"/>
      <c r="K70" s="627"/>
      <c r="L70" s="627">
        <f>J70+K70</f>
        <v>0</v>
      </c>
      <c r="M70" s="42"/>
      <c r="N70" s="61"/>
    </row>
    <row r="71" spans="1:19" ht="60">
      <c r="A71" s="62" t="s">
        <v>178</v>
      </c>
      <c r="B71" s="63" t="s">
        <v>125</v>
      </c>
      <c r="C71" s="64" t="s">
        <v>47</v>
      </c>
      <c r="D71" s="64" t="s">
        <v>47</v>
      </c>
      <c r="E71" s="65">
        <v>7952013</v>
      </c>
      <c r="F71" s="64"/>
      <c r="G71" s="67"/>
      <c r="H71" s="66"/>
      <c r="I71" s="67"/>
      <c r="J71" s="627">
        <f>J72</f>
        <v>227.2</v>
      </c>
      <c r="K71" s="627">
        <f>K72</f>
        <v>0</v>
      </c>
      <c r="L71" s="627">
        <f>L72</f>
        <v>227.2</v>
      </c>
      <c r="M71" s="42"/>
      <c r="N71" s="61"/>
    </row>
    <row r="72" spans="1:19" ht="30">
      <c r="A72" s="31" t="s">
        <v>135</v>
      </c>
      <c r="B72" s="64" t="s">
        <v>125</v>
      </c>
      <c r="C72" s="64" t="s">
        <v>47</v>
      </c>
      <c r="D72" s="64" t="s">
        <v>47</v>
      </c>
      <c r="E72" s="65">
        <v>7952013</v>
      </c>
      <c r="F72" s="64" t="s">
        <v>133</v>
      </c>
      <c r="G72" s="67"/>
      <c r="H72" s="66"/>
      <c r="I72" s="67"/>
      <c r="J72" s="627">
        <v>227.2</v>
      </c>
      <c r="K72" s="627"/>
      <c r="L72" s="627">
        <f>J72+K72</f>
        <v>227.2</v>
      </c>
      <c r="M72" s="42"/>
      <c r="N72" s="61"/>
      <c r="O72" s="11">
        <v>427.2</v>
      </c>
      <c r="P72" s="15">
        <f>L72-O72</f>
        <v>-200</v>
      </c>
      <c r="S72" s="15">
        <f>K72+K74+K76+K80+K82+K78</f>
        <v>0</v>
      </c>
    </row>
    <row r="73" spans="1:19" ht="60">
      <c r="A73" s="62" t="s">
        <v>179</v>
      </c>
      <c r="B73" s="63" t="s">
        <v>125</v>
      </c>
      <c r="C73" s="64" t="s">
        <v>47</v>
      </c>
      <c r="D73" s="64" t="s">
        <v>47</v>
      </c>
      <c r="E73" s="65">
        <v>7952014</v>
      </c>
      <c r="F73" s="64"/>
      <c r="G73" s="593"/>
      <c r="H73" s="68"/>
      <c r="I73" s="69"/>
      <c r="J73" s="627">
        <f>J74</f>
        <v>150</v>
      </c>
      <c r="K73" s="627">
        <f>K74</f>
        <v>0</v>
      </c>
      <c r="L73" s="627">
        <f>L74</f>
        <v>150</v>
      </c>
      <c r="M73" s="42"/>
      <c r="N73" s="61"/>
      <c r="P73" s="15"/>
    </row>
    <row r="74" spans="1:19" ht="30">
      <c r="A74" s="31" t="s">
        <v>135</v>
      </c>
      <c r="B74" s="64" t="s">
        <v>125</v>
      </c>
      <c r="C74" s="64" t="s">
        <v>47</v>
      </c>
      <c r="D74" s="64" t="s">
        <v>47</v>
      </c>
      <c r="E74" s="65">
        <v>7952014</v>
      </c>
      <c r="F74" s="64" t="s">
        <v>133</v>
      </c>
      <c r="G74" s="69"/>
      <c r="H74" s="68"/>
      <c r="I74" s="69"/>
      <c r="J74" s="627">
        <v>150</v>
      </c>
      <c r="K74" s="627"/>
      <c r="L74" s="627">
        <f>J74+K74</f>
        <v>150</v>
      </c>
      <c r="M74" s="42"/>
      <c r="N74" s="61"/>
      <c r="O74" s="11">
        <v>150</v>
      </c>
      <c r="P74" s="15"/>
    </row>
    <row r="75" spans="1:19" ht="60">
      <c r="A75" s="62" t="s">
        <v>180</v>
      </c>
      <c r="B75" s="63" t="s">
        <v>125</v>
      </c>
      <c r="C75" s="64" t="s">
        <v>47</v>
      </c>
      <c r="D75" s="64" t="s">
        <v>47</v>
      </c>
      <c r="E75" s="65">
        <v>7952015</v>
      </c>
      <c r="F75" s="64"/>
      <c r="G75" s="67"/>
      <c r="H75" s="66"/>
      <c r="I75" s="67"/>
      <c r="J75" s="627">
        <f>J76</f>
        <v>50</v>
      </c>
      <c r="K75" s="627">
        <f>K76</f>
        <v>0</v>
      </c>
      <c r="L75" s="627">
        <f>L76</f>
        <v>50</v>
      </c>
      <c r="M75" s="42"/>
      <c r="N75" s="61"/>
    </row>
    <row r="76" spans="1:19" ht="30">
      <c r="A76" s="31" t="s">
        <v>135</v>
      </c>
      <c r="B76" s="64" t="s">
        <v>125</v>
      </c>
      <c r="C76" s="64" t="s">
        <v>47</v>
      </c>
      <c r="D76" s="64" t="s">
        <v>47</v>
      </c>
      <c r="E76" s="65">
        <v>7952015</v>
      </c>
      <c r="F76" s="64" t="s">
        <v>133</v>
      </c>
      <c r="G76" s="67"/>
      <c r="H76" s="66"/>
      <c r="I76" s="67"/>
      <c r="J76" s="627">
        <v>50</v>
      </c>
      <c r="K76" s="627"/>
      <c r="L76" s="627">
        <f>J76+K76</f>
        <v>50</v>
      </c>
      <c r="M76" s="42"/>
      <c r="N76" s="61"/>
      <c r="O76" s="11">
        <v>50</v>
      </c>
    </row>
    <row r="77" spans="1:19" ht="90">
      <c r="A77" s="62" t="s">
        <v>181</v>
      </c>
      <c r="B77" s="63" t="s">
        <v>125</v>
      </c>
      <c r="C77" s="64" t="s">
        <v>47</v>
      </c>
      <c r="D77" s="64" t="s">
        <v>47</v>
      </c>
      <c r="E77" s="65">
        <v>7952016</v>
      </c>
      <c r="F77" s="64"/>
      <c r="G77" s="67"/>
      <c r="H77" s="66"/>
      <c r="I77" s="67"/>
      <c r="J77" s="627">
        <f>J78</f>
        <v>50</v>
      </c>
      <c r="K77" s="627">
        <f>K78</f>
        <v>0</v>
      </c>
      <c r="L77" s="627">
        <f>L78</f>
        <v>50</v>
      </c>
      <c r="M77" s="42"/>
      <c r="N77" s="61"/>
    </row>
    <row r="78" spans="1:19" ht="30">
      <c r="A78" s="31" t="s">
        <v>135</v>
      </c>
      <c r="B78" s="64" t="s">
        <v>125</v>
      </c>
      <c r="C78" s="64" t="s">
        <v>47</v>
      </c>
      <c r="D78" s="64" t="s">
        <v>47</v>
      </c>
      <c r="E78" s="65">
        <v>7952016</v>
      </c>
      <c r="F78" s="64" t="s">
        <v>133</v>
      </c>
      <c r="G78" s="67"/>
      <c r="H78" s="66"/>
      <c r="I78" s="67"/>
      <c r="J78" s="627">
        <v>50</v>
      </c>
      <c r="K78" s="627"/>
      <c r="L78" s="627">
        <f>J78+K78</f>
        <v>50</v>
      </c>
      <c r="M78" s="42"/>
      <c r="N78" s="61"/>
      <c r="O78" s="11">
        <v>50</v>
      </c>
    </row>
    <row r="79" spans="1:19" ht="90">
      <c r="A79" s="62" t="s">
        <v>182</v>
      </c>
      <c r="B79" s="63" t="s">
        <v>125</v>
      </c>
      <c r="C79" s="64" t="s">
        <v>47</v>
      </c>
      <c r="D79" s="64" t="s">
        <v>47</v>
      </c>
      <c r="E79" s="65">
        <v>7952017</v>
      </c>
      <c r="F79" s="64"/>
      <c r="G79" s="67"/>
      <c r="H79" s="66"/>
      <c r="I79" s="67"/>
      <c r="J79" s="627">
        <f>J80</f>
        <v>234</v>
      </c>
      <c r="K79" s="627">
        <f>K80</f>
        <v>0</v>
      </c>
      <c r="L79" s="627">
        <f>L80</f>
        <v>234</v>
      </c>
      <c r="M79" s="42"/>
      <c r="N79" s="61"/>
    </row>
    <row r="80" spans="1:19" ht="30">
      <c r="A80" s="31" t="s">
        <v>135</v>
      </c>
      <c r="B80" s="64" t="s">
        <v>125</v>
      </c>
      <c r="C80" s="64" t="s">
        <v>47</v>
      </c>
      <c r="D80" s="64" t="s">
        <v>47</v>
      </c>
      <c r="E80" s="65">
        <v>7952017</v>
      </c>
      <c r="F80" s="64" t="s">
        <v>133</v>
      </c>
      <c r="G80" s="67"/>
      <c r="H80" s="66"/>
      <c r="I80" s="67"/>
      <c r="J80" s="627">
        <v>234</v>
      </c>
      <c r="K80" s="627"/>
      <c r="L80" s="627">
        <f>J80+K80</f>
        <v>234</v>
      </c>
      <c r="M80" s="42"/>
      <c r="N80" s="61"/>
      <c r="O80" s="11">
        <v>234</v>
      </c>
    </row>
    <row r="81" spans="1:19" ht="45">
      <c r="A81" s="62" t="s">
        <v>183</v>
      </c>
      <c r="B81" s="63" t="s">
        <v>125</v>
      </c>
      <c r="C81" s="64" t="s">
        <v>47</v>
      </c>
      <c r="D81" s="64" t="s">
        <v>47</v>
      </c>
      <c r="E81" s="65">
        <v>7952019</v>
      </c>
      <c r="F81" s="64"/>
      <c r="G81" s="67"/>
      <c r="H81" s="66"/>
      <c r="I81" s="67"/>
      <c r="J81" s="627">
        <f>J82</f>
        <v>88.8</v>
      </c>
      <c r="K81" s="627">
        <f>K82</f>
        <v>0</v>
      </c>
      <c r="L81" s="627">
        <f>L82</f>
        <v>88.8</v>
      </c>
      <c r="M81" s="42"/>
      <c r="N81" s="61"/>
    </row>
    <row r="82" spans="1:19" ht="30">
      <c r="A82" s="31" t="s">
        <v>135</v>
      </c>
      <c r="B82" s="64" t="s">
        <v>125</v>
      </c>
      <c r="C82" s="64" t="s">
        <v>47</v>
      </c>
      <c r="D82" s="64" t="s">
        <v>47</v>
      </c>
      <c r="E82" s="65">
        <v>7952019</v>
      </c>
      <c r="F82" s="64" t="s">
        <v>133</v>
      </c>
      <c r="G82" s="67"/>
      <c r="H82" s="66"/>
      <c r="I82" s="67"/>
      <c r="J82" s="627">
        <v>88.8</v>
      </c>
      <c r="K82" s="627"/>
      <c r="L82" s="627">
        <f>J82+K82</f>
        <v>88.8</v>
      </c>
      <c r="M82" s="42"/>
      <c r="N82" s="61"/>
      <c r="O82" s="11">
        <v>88.8</v>
      </c>
    </row>
    <row r="83" spans="1:19" ht="43.5" hidden="1">
      <c r="A83" s="24" t="s">
        <v>84</v>
      </c>
      <c r="B83" s="25" t="s">
        <v>125</v>
      </c>
      <c r="C83" s="25" t="s">
        <v>47</v>
      </c>
      <c r="D83" s="25" t="s">
        <v>85</v>
      </c>
      <c r="E83" s="25"/>
      <c r="F83" s="25"/>
      <c r="G83" s="568">
        <f t="shared" ref="G83:N85" si="16">G84</f>
        <v>0</v>
      </c>
      <c r="H83" s="568">
        <f t="shared" si="16"/>
        <v>1049.6600000000001</v>
      </c>
      <c r="I83" s="568">
        <f t="shared" si="16"/>
        <v>0</v>
      </c>
      <c r="J83" s="488">
        <f>J84+J87+J89+J91+J93+J95</f>
        <v>0</v>
      </c>
      <c r="K83" s="488">
        <f>K84+K87+K89+K91+K93+K95</f>
        <v>0</v>
      </c>
      <c r="L83" s="488">
        <f>L84+L87+L89+L91+L93+L95</f>
        <v>0</v>
      </c>
      <c r="M83" s="70">
        <f>M84+M87</f>
        <v>33</v>
      </c>
      <c r="N83" s="71">
        <f>N84+N87</f>
        <v>33</v>
      </c>
      <c r="O83" s="72"/>
      <c r="P83" s="73"/>
      <c r="Q83" s="74"/>
      <c r="R83" s="73"/>
      <c r="S83" s="75"/>
    </row>
    <row r="84" spans="1:19" ht="45" hidden="1">
      <c r="A84" s="31" t="s">
        <v>174</v>
      </c>
      <c r="B84" s="26" t="s">
        <v>125</v>
      </c>
      <c r="C84" s="26" t="s">
        <v>47</v>
      </c>
      <c r="D84" s="26" t="s">
        <v>85</v>
      </c>
      <c r="E84" s="26" t="s">
        <v>175</v>
      </c>
      <c r="F84" s="26"/>
      <c r="G84" s="147">
        <f t="shared" si="16"/>
        <v>0</v>
      </c>
      <c r="H84" s="147">
        <f t="shared" si="16"/>
        <v>1049.6600000000001</v>
      </c>
      <c r="I84" s="147">
        <f t="shared" si="16"/>
        <v>0</v>
      </c>
      <c r="J84" s="627">
        <f t="shared" si="16"/>
        <v>0</v>
      </c>
      <c r="K84" s="627">
        <f t="shared" si="16"/>
        <v>0</v>
      </c>
      <c r="L84" s="627">
        <f t="shared" si="16"/>
        <v>0</v>
      </c>
      <c r="M84" s="42">
        <f t="shared" si="16"/>
        <v>0</v>
      </c>
      <c r="N84" s="76">
        <f t="shared" si="16"/>
        <v>0</v>
      </c>
      <c r="O84" s="77"/>
      <c r="P84" s="78"/>
      <c r="Q84" s="79"/>
      <c r="R84" s="78"/>
      <c r="S84" s="75"/>
    </row>
    <row r="85" spans="1:19" ht="30" hidden="1">
      <c r="A85" s="31" t="s">
        <v>145</v>
      </c>
      <c r="B85" s="26" t="s">
        <v>125</v>
      </c>
      <c r="C85" s="26" t="s">
        <v>47</v>
      </c>
      <c r="D85" s="26" t="s">
        <v>85</v>
      </c>
      <c r="E85" s="26" t="s">
        <v>176</v>
      </c>
      <c r="F85" s="26"/>
      <c r="G85" s="147">
        <f t="shared" si="16"/>
        <v>0</v>
      </c>
      <c r="H85" s="147">
        <f t="shared" si="16"/>
        <v>1049.6600000000001</v>
      </c>
      <c r="I85" s="147">
        <f t="shared" si="16"/>
        <v>0</v>
      </c>
      <c r="J85" s="627">
        <f t="shared" si="16"/>
        <v>0</v>
      </c>
      <c r="K85" s="627">
        <f t="shared" si="16"/>
        <v>0</v>
      </c>
      <c r="L85" s="627">
        <f t="shared" si="16"/>
        <v>0</v>
      </c>
      <c r="M85" s="42">
        <f t="shared" si="16"/>
        <v>0</v>
      </c>
      <c r="N85" s="76">
        <f t="shared" si="16"/>
        <v>0</v>
      </c>
      <c r="O85" s="77"/>
      <c r="P85" s="78"/>
      <c r="Q85" s="79"/>
      <c r="R85" s="78"/>
      <c r="S85" s="75"/>
    </row>
    <row r="86" spans="1:19" ht="30" hidden="1">
      <c r="A86" s="31" t="s">
        <v>152</v>
      </c>
      <c r="B86" s="26" t="s">
        <v>125</v>
      </c>
      <c r="C86" s="26" t="s">
        <v>47</v>
      </c>
      <c r="D86" s="26" t="s">
        <v>85</v>
      </c>
      <c r="E86" s="26" t="s">
        <v>176</v>
      </c>
      <c r="F86" s="26" t="s">
        <v>142</v>
      </c>
      <c r="G86" s="67"/>
      <c r="H86" s="66">
        <v>1049.6600000000001</v>
      </c>
      <c r="I86" s="67"/>
      <c r="J86" s="627"/>
      <c r="K86" s="627"/>
      <c r="L86" s="627">
        <f>J86+K86</f>
        <v>0</v>
      </c>
      <c r="M86" s="48"/>
      <c r="N86" s="80">
        <f>L86+M86</f>
        <v>0</v>
      </c>
      <c r="O86" s="77"/>
      <c r="P86" s="78"/>
      <c r="Q86" s="79"/>
      <c r="R86" s="81"/>
      <c r="S86" s="75"/>
    </row>
    <row r="87" spans="1:19" ht="60" hidden="1">
      <c r="A87" s="62" t="s">
        <v>177</v>
      </c>
      <c r="B87" s="63" t="s">
        <v>125</v>
      </c>
      <c r="C87" s="64" t="s">
        <v>47</v>
      </c>
      <c r="D87" s="64" t="s">
        <v>85</v>
      </c>
      <c r="E87" s="65">
        <v>7952014</v>
      </c>
      <c r="F87" s="64"/>
      <c r="G87" s="593"/>
      <c r="H87" s="68"/>
      <c r="I87" s="69"/>
      <c r="J87" s="627">
        <f>J88</f>
        <v>0</v>
      </c>
      <c r="K87" s="627">
        <f>K88</f>
        <v>0</v>
      </c>
      <c r="L87" s="627">
        <f>L88</f>
        <v>0</v>
      </c>
      <c r="M87" s="29">
        <f>M88</f>
        <v>33</v>
      </c>
      <c r="N87" s="82">
        <f>N88</f>
        <v>33</v>
      </c>
      <c r="O87" s="77"/>
      <c r="P87" s="78"/>
      <c r="Q87" s="79"/>
      <c r="R87" s="81"/>
      <c r="S87" s="75"/>
    </row>
    <row r="88" spans="1:19" ht="30" hidden="1" customHeight="1" thickBot="1">
      <c r="A88" s="31" t="s">
        <v>135</v>
      </c>
      <c r="B88" s="64" t="s">
        <v>125</v>
      </c>
      <c r="C88" s="64" t="s">
        <v>47</v>
      </c>
      <c r="D88" s="64" t="s">
        <v>85</v>
      </c>
      <c r="E88" s="65">
        <v>7952014</v>
      </c>
      <c r="F88" s="64" t="s">
        <v>133</v>
      </c>
      <c r="G88" s="69"/>
      <c r="H88" s="68"/>
      <c r="I88" s="69"/>
      <c r="J88" s="627"/>
      <c r="K88" s="627"/>
      <c r="L88" s="627">
        <f>J88+K88</f>
        <v>0</v>
      </c>
      <c r="M88" s="83">
        <v>33</v>
      </c>
      <c r="N88" s="84">
        <f>L88+M88</f>
        <v>33</v>
      </c>
      <c r="O88" s="85"/>
      <c r="P88" s="78"/>
      <c r="Q88" s="79"/>
      <c r="R88" s="81"/>
      <c r="S88" s="75"/>
    </row>
    <row r="89" spans="1:19" ht="57.75" hidden="1" customHeight="1" thickBot="1">
      <c r="A89" s="62" t="s">
        <v>178</v>
      </c>
      <c r="B89" s="63" t="s">
        <v>125</v>
      </c>
      <c r="C89" s="64" t="s">
        <v>47</v>
      </c>
      <c r="D89" s="64" t="s">
        <v>85</v>
      </c>
      <c r="E89" s="65">
        <v>7952013</v>
      </c>
      <c r="F89" s="64"/>
      <c r="G89" s="69"/>
      <c r="H89" s="68"/>
      <c r="I89" s="69"/>
      <c r="J89" s="627">
        <f>J90</f>
        <v>0</v>
      </c>
      <c r="K89" s="627">
        <f>K90</f>
        <v>0</v>
      </c>
      <c r="L89" s="627">
        <f>L90</f>
        <v>0</v>
      </c>
      <c r="M89" s="86"/>
      <c r="N89" s="87"/>
      <c r="O89" s="77"/>
      <c r="P89" s="78"/>
      <c r="Q89" s="79"/>
      <c r="R89" s="81"/>
      <c r="S89" s="75"/>
    </row>
    <row r="90" spans="1:19" ht="30" hidden="1" customHeight="1" thickBot="1">
      <c r="A90" s="31" t="s">
        <v>135</v>
      </c>
      <c r="B90" s="64" t="s">
        <v>125</v>
      </c>
      <c r="C90" s="64" t="s">
        <v>47</v>
      </c>
      <c r="D90" s="64" t="s">
        <v>85</v>
      </c>
      <c r="E90" s="65">
        <v>7952013</v>
      </c>
      <c r="F90" s="64" t="s">
        <v>133</v>
      </c>
      <c r="G90" s="69"/>
      <c r="H90" s="68"/>
      <c r="I90" s="69"/>
      <c r="J90" s="627"/>
      <c r="K90" s="627"/>
      <c r="L90" s="627">
        <f>J90+K90</f>
        <v>0</v>
      </c>
      <c r="M90" s="86"/>
      <c r="N90" s="87"/>
      <c r="O90" s="85"/>
      <c r="P90" s="78"/>
      <c r="Q90" s="79"/>
      <c r="R90" s="81"/>
      <c r="S90" s="75"/>
    </row>
    <row r="91" spans="1:19" ht="57" hidden="1" customHeight="1" thickBot="1">
      <c r="A91" s="62" t="s">
        <v>180</v>
      </c>
      <c r="B91" s="63" t="s">
        <v>125</v>
      </c>
      <c r="C91" s="64" t="s">
        <v>47</v>
      </c>
      <c r="D91" s="64" t="s">
        <v>85</v>
      </c>
      <c r="E91" s="65">
        <v>7952015</v>
      </c>
      <c r="F91" s="64"/>
      <c r="G91" s="69"/>
      <c r="H91" s="68"/>
      <c r="I91" s="69"/>
      <c r="J91" s="627">
        <f>J92</f>
        <v>0</v>
      </c>
      <c r="K91" s="627">
        <f>K92</f>
        <v>0</v>
      </c>
      <c r="L91" s="627">
        <f>L92</f>
        <v>0</v>
      </c>
      <c r="M91" s="86"/>
      <c r="N91" s="87"/>
      <c r="O91" s="77"/>
      <c r="P91" s="78"/>
      <c r="Q91" s="79"/>
      <c r="R91" s="81"/>
      <c r="S91" s="75"/>
    </row>
    <row r="92" spans="1:19" ht="30" hidden="1" customHeight="1" thickBot="1">
      <c r="A92" s="31" t="s">
        <v>135</v>
      </c>
      <c r="B92" s="64" t="s">
        <v>125</v>
      </c>
      <c r="C92" s="64" t="s">
        <v>47</v>
      </c>
      <c r="D92" s="64" t="s">
        <v>85</v>
      </c>
      <c r="E92" s="65">
        <v>7952015</v>
      </c>
      <c r="F92" s="64" t="s">
        <v>133</v>
      </c>
      <c r="G92" s="69"/>
      <c r="H92" s="68"/>
      <c r="I92" s="69"/>
      <c r="J92" s="627"/>
      <c r="K92" s="627"/>
      <c r="L92" s="627">
        <f>J92+K92</f>
        <v>0</v>
      </c>
      <c r="M92" s="86"/>
      <c r="N92" s="87"/>
      <c r="O92" s="85"/>
      <c r="P92" s="78"/>
      <c r="Q92" s="79"/>
      <c r="R92" s="81"/>
      <c r="S92" s="75"/>
    </row>
    <row r="93" spans="1:19" ht="90" hidden="1" customHeight="1" thickBot="1">
      <c r="A93" s="62" t="s">
        <v>181</v>
      </c>
      <c r="B93" s="63" t="s">
        <v>125</v>
      </c>
      <c r="C93" s="64" t="s">
        <v>47</v>
      </c>
      <c r="D93" s="64" t="s">
        <v>85</v>
      </c>
      <c r="E93" s="65">
        <v>7952016</v>
      </c>
      <c r="F93" s="64"/>
      <c r="G93" s="69"/>
      <c r="H93" s="68"/>
      <c r="I93" s="69"/>
      <c r="J93" s="627">
        <f>J94</f>
        <v>0</v>
      </c>
      <c r="K93" s="627">
        <f>K94</f>
        <v>0</v>
      </c>
      <c r="L93" s="627">
        <f>L94</f>
        <v>0</v>
      </c>
      <c r="M93" s="86"/>
      <c r="N93" s="87"/>
      <c r="O93" s="77"/>
      <c r="P93" s="78"/>
      <c r="Q93" s="79"/>
      <c r="R93" s="81"/>
      <c r="S93" s="75"/>
    </row>
    <row r="94" spans="1:19" ht="30" hidden="1" customHeight="1" thickBot="1">
      <c r="A94" s="88" t="s">
        <v>135</v>
      </c>
      <c r="B94" s="64" t="s">
        <v>125</v>
      </c>
      <c r="C94" s="64" t="s">
        <v>47</v>
      </c>
      <c r="D94" s="64" t="s">
        <v>85</v>
      </c>
      <c r="E94" s="65">
        <v>7952016</v>
      </c>
      <c r="F94" s="64" t="s">
        <v>133</v>
      </c>
      <c r="G94" s="69"/>
      <c r="H94" s="68"/>
      <c r="I94" s="69"/>
      <c r="J94" s="627"/>
      <c r="K94" s="627"/>
      <c r="L94" s="627">
        <f>J94+K94</f>
        <v>0</v>
      </c>
      <c r="M94" s="86"/>
      <c r="N94" s="87"/>
      <c r="O94" s="85"/>
      <c r="P94" s="78"/>
      <c r="Q94" s="79"/>
      <c r="R94" s="81"/>
      <c r="S94" s="75"/>
    </row>
    <row r="95" spans="1:19" ht="48.75" hidden="1" customHeight="1" thickBot="1">
      <c r="A95" s="62" t="s">
        <v>184</v>
      </c>
      <c r="B95" s="63" t="s">
        <v>125</v>
      </c>
      <c r="C95" s="64" t="s">
        <v>47</v>
      </c>
      <c r="D95" s="64" t="s">
        <v>85</v>
      </c>
      <c r="E95" s="65">
        <v>7952017</v>
      </c>
      <c r="F95" s="64"/>
      <c r="G95" s="69"/>
      <c r="H95" s="68"/>
      <c r="I95" s="69"/>
      <c r="J95" s="627">
        <f>J96</f>
        <v>0</v>
      </c>
      <c r="K95" s="627">
        <f>K96</f>
        <v>0</v>
      </c>
      <c r="L95" s="627">
        <f>L96</f>
        <v>0</v>
      </c>
      <c r="M95" s="86"/>
      <c r="N95" s="87"/>
      <c r="O95" s="77"/>
      <c r="P95" s="78"/>
      <c r="Q95" s="79"/>
      <c r="R95" s="81"/>
      <c r="S95" s="75"/>
    </row>
    <row r="96" spans="1:19" ht="33" hidden="1" customHeight="1" thickBot="1">
      <c r="A96" s="31" t="s">
        <v>135</v>
      </c>
      <c r="B96" s="64" t="s">
        <v>125</v>
      </c>
      <c r="C96" s="64" t="s">
        <v>47</v>
      </c>
      <c r="D96" s="64" t="s">
        <v>85</v>
      </c>
      <c r="E96" s="65">
        <v>7952017</v>
      </c>
      <c r="F96" s="64" t="s">
        <v>133</v>
      </c>
      <c r="G96" s="69"/>
      <c r="H96" s="68"/>
      <c r="I96" s="69"/>
      <c r="J96" s="627"/>
      <c r="K96" s="627">
        <f>30-30</f>
        <v>0</v>
      </c>
      <c r="L96" s="627">
        <f>J96+K96</f>
        <v>0</v>
      </c>
      <c r="M96" s="86"/>
      <c r="N96" s="87"/>
      <c r="O96" s="85"/>
      <c r="P96" s="78"/>
      <c r="Q96" s="79"/>
      <c r="R96" s="81"/>
      <c r="S96" s="75"/>
    </row>
    <row r="97" spans="1:18" ht="30" thickBot="1">
      <c r="A97" s="594" t="s">
        <v>185</v>
      </c>
      <c r="B97" s="209" t="s">
        <v>186</v>
      </c>
      <c r="C97" s="209"/>
      <c r="D97" s="209"/>
      <c r="E97" s="209"/>
      <c r="F97" s="209"/>
      <c r="G97" s="211" t="e">
        <f t="shared" ref="G97:N97" si="17">G98+G105+G174</f>
        <v>#REF!</v>
      </c>
      <c r="H97" s="211">
        <f t="shared" si="17"/>
        <v>159066.28999999998</v>
      </c>
      <c r="I97" s="211">
        <f t="shared" si="17"/>
        <v>0</v>
      </c>
      <c r="J97" s="625">
        <f t="shared" si="17"/>
        <v>207180.24245000002</v>
      </c>
      <c r="K97" s="625">
        <f>K98+K105+K174</f>
        <v>14188.941999999999</v>
      </c>
      <c r="L97" s="625">
        <f t="shared" si="17"/>
        <v>221369.18444999994</v>
      </c>
      <c r="M97" s="89">
        <f t="shared" si="17"/>
        <v>1106.3000000000002</v>
      </c>
      <c r="N97" s="90">
        <f t="shared" si="17"/>
        <v>75376.896500000003</v>
      </c>
      <c r="O97" s="91">
        <f>J97-L97</f>
        <v>-14188.941999999923</v>
      </c>
      <c r="P97" s="45"/>
      <c r="R97" s="45"/>
    </row>
    <row r="98" spans="1:18" hidden="1">
      <c r="A98" s="33" t="s">
        <v>18</v>
      </c>
      <c r="B98" s="34" t="s">
        <v>186</v>
      </c>
      <c r="C98" s="34" t="s">
        <v>21</v>
      </c>
      <c r="D98" s="25"/>
      <c r="E98" s="25"/>
      <c r="F98" s="25"/>
      <c r="G98" s="588">
        <f t="shared" ref="G98:N98" si="18">G99</f>
        <v>-853.63300000000004</v>
      </c>
      <c r="H98" s="588">
        <f t="shared" si="18"/>
        <v>1002.7</v>
      </c>
      <c r="I98" s="588">
        <f t="shared" si="18"/>
        <v>0</v>
      </c>
      <c r="J98" s="379">
        <f t="shared" si="18"/>
        <v>0</v>
      </c>
      <c r="K98" s="379">
        <f t="shared" si="18"/>
        <v>0</v>
      </c>
      <c r="L98" s="379">
        <f t="shared" si="18"/>
        <v>0</v>
      </c>
      <c r="M98" s="21">
        <f t="shared" si="18"/>
        <v>0</v>
      </c>
      <c r="N98" s="92">
        <f t="shared" si="18"/>
        <v>0</v>
      </c>
    </row>
    <row r="99" spans="1:18" ht="75" hidden="1">
      <c r="A99" s="31" t="s">
        <v>187</v>
      </c>
      <c r="B99" s="26" t="s">
        <v>186</v>
      </c>
      <c r="C99" s="26" t="s">
        <v>21</v>
      </c>
      <c r="D99" s="26" t="s">
        <v>26</v>
      </c>
      <c r="E99" s="26"/>
      <c r="F99" s="26"/>
      <c r="G99" s="592">
        <f t="shared" ref="G99:M99" si="19">G102+G100</f>
        <v>-853.63300000000004</v>
      </c>
      <c r="H99" s="592">
        <f t="shared" si="19"/>
        <v>1002.7</v>
      </c>
      <c r="I99" s="592">
        <f t="shared" si="19"/>
        <v>0</v>
      </c>
      <c r="J99" s="627">
        <f t="shared" si="19"/>
        <v>0</v>
      </c>
      <c r="K99" s="627">
        <f t="shared" si="19"/>
        <v>0</v>
      </c>
      <c r="L99" s="627">
        <f t="shared" si="19"/>
        <v>0</v>
      </c>
      <c r="M99" s="28">
        <f t="shared" si="19"/>
        <v>0</v>
      </c>
      <c r="N99" s="55">
        <f>N102+N100</f>
        <v>0</v>
      </c>
    </row>
    <row r="100" spans="1:18" ht="51" hidden="1" customHeight="1">
      <c r="A100" s="93" t="s">
        <v>188</v>
      </c>
      <c r="B100" s="26" t="s">
        <v>186</v>
      </c>
      <c r="C100" s="26" t="s">
        <v>21</v>
      </c>
      <c r="D100" s="26" t="s">
        <v>26</v>
      </c>
      <c r="E100" s="26" t="s">
        <v>189</v>
      </c>
      <c r="F100" s="26"/>
      <c r="G100" s="592">
        <f t="shared" ref="G100:N100" si="20">G101</f>
        <v>120.46699999999998</v>
      </c>
      <c r="H100" s="592">
        <f t="shared" si="20"/>
        <v>0</v>
      </c>
      <c r="I100" s="592">
        <f t="shared" si="20"/>
        <v>0</v>
      </c>
      <c r="J100" s="627">
        <f t="shared" si="20"/>
        <v>0</v>
      </c>
      <c r="K100" s="627">
        <f t="shared" si="20"/>
        <v>0</v>
      </c>
      <c r="L100" s="627">
        <f t="shared" si="20"/>
        <v>0</v>
      </c>
      <c r="M100" s="28">
        <f t="shared" si="20"/>
        <v>0</v>
      </c>
      <c r="N100" s="55">
        <f t="shared" si="20"/>
        <v>0</v>
      </c>
    </row>
    <row r="101" spans="1:18" ht="25.5" hidden="1" customHeight="1">
      <c r="A101" s="31" t="s">
        <v>135</v>
      </c>
      <c r="B101" s="26" t="s">
        <v>186</v>
      </c>
      <c r="C101" s="26" t="s">
        <v>21</v>
      </c>
      <c r="D101" s="26" t="s">
        <v>26</v>
      </c>
      <c r="E101" s="26" t="s">
        <v>189</v>
      </c>
      <c r="F101" s="26" t="s">
        <v>133</v>
      </c>
      <c r="G101" s="27">
        <f>455-334.533</f>
        <v>120.46699999999998</v>
      </c>
      <c r="H101" s="592"/>
      <c r="I101" s="27"/>
      <c r="J101" s="627">
        <f>H101+I101</f>
        <v>0</v>
      </c>
      <c r="K101" s="627"/>
      <c r="L101" s="627">
        <f>J101+K101</f>
        <v>0</v>
      </c>
      <c r="M101" s="28"/>
      <c r="N101" s="30">
        <f>L101+M101</f>
        <v>0</v>
      </c>
    </row>
    <row r="102" spans="1:18" ht="75" hidden="1">
      <c r="A102" s="31" t="s">
        <v>190</v>
      </c>
      <c r="B102" s="26" t="s">
        <v>186</v>
      </c>
      <c r="C102" s="26" t="s">
        <v>21</v>
      </c>
      <c r="D102" s="26" t="s">
        <v>26</v>
      </c>
      <c r="E102" s="26" t="s">
        <v>191</v>
      </c>
      <c r="F102" s="26"/>
      <c r="G102" s="147">
        <f t="shared" ref="G102:N103" si="21">G103</f>
        <v>-974.1</v>
      </c>
      <c r="H102" s="147">
        <f t="shared" si="21"/>
        <v>1002.7</v>
      </c>
      <c r="I102" s="147">
        <f t="shared" si="21"/>
        <v>0</v>
      </c>
      <c r="J102" s="627">
        <f t="shared" si="21"/>
        <v>0</v>
      </c>
      <c r="K102" s="627">
        <f t="shared" si="21"/>
        <v>0</v>
      </c>
      <c r="L102" s="627">
        <f t="shared" si="21"/>
        <v>0</v>
      </c>
      <c r="M102" s="42">
        <f t="shared" si="21"/>
        <v>0</v>
      </c>
      <c r="N102" s="43">
        <f t="shared" si="21"/>
        <v>0</v>
      </c>
    </row>
    <row r="103" spans="1:18" hidden="1">
      <c r="A103" s="31" t="s">
        <v>192</v>
      </c>
      <c r="B103" s="26" t="s">
        <v>186</v>
      </c>
      <c r="C103" s="26" t="s">
        <v>21</v>
      </c>
      <c r="D103" s="26" t="s">
        <v>26</v>
      </c>
      <c r="E103" s="26" t="s">
        <v>193</v>
      </c>
      <c r="F103" s="26"/>
      <c r="G103" s="147">
        <f t="shared" si="21"/>
        <v>-974.1</v>
      </c>
      <c r="H103" s="147">
        <f t="shared" si="21"/>
        <v>1002.7</v>
      </c>
      <c r="I103" s="147">
        <f t="shared" si="21"/>
        <v>0</v>
      </c>
      <c r="J103" s="627">
        <f t="shared" si="21"/>
        <v>0</v>
      </c>
      <c r="K103" s="627">
        <f t="shared" si="21"/>
        <v>0</v>
      </c>
      <c r="L103" s="627">
        <f t="shared" si="21"/>
        <v>0</v>
      </c>
      <c r="M103" s="42">
        <f t="shared" si="21"/>
        <v>0</v>
      </c>
      <c r="N103" s="43">
        <f t="shared" si="21"/>
        <v>0</v>
      </c>
    </row>
    <row r="104" spans="1:18" ht="30" hidden="1">
      <c r="A104" s="31" t="s">
        <v>135</v>
      </c>
      <c r="B104" s="26" t="s">
        <v>186</v>
      </c>
      <c r="C104" s="26" t="s">
        <v>21</v>
      </c>
      <c r="D104" s="26" t="s">
        <v>26</v>
      </c>
      <c r="E104" s="26" t="s">
        <v>193</v>
      </c>
      <c r="F104" s="26" t="s">
        <v>133</v>
      </c>
      <c r="G104" s="147">
        <f>-519.1-455</f>
        <v>-974.1</v>
      </c>
      <c r="H104" s="589">
        <v>1002.7</v>
      </c>
      <c r="I104" s="147"/>
      <c r="J104" s="627"/>
      <c r="K104" s="627"/>
      <c r="L104" s="627">
        <f>J104+K104</f>
        <v>0</v>
      </c>
      <c r="M104" s="42"/>
      <c r="N104" s="30">
        <f>L104+M104</f>
        <v>0</v>
      </c>
    </row>
    <row r="105" spans="1:18">
      <c r="A105" s="33" t="s">
        <v>126</v>
      </c>
      <c r="B105" s="34" t="s">
        <v>186</v>
      </c>
      <c r="C105" s="34" t="s">
        <v>32</v>
      </c>
      <c r="D105" s="34"/>
      <c r="E105" s="34"/>
      <c r="F105" s="34"/>
      <c r="G105" s="585" t="e">
        <f t="shared" ref="G105:N105" si="22">G106+G111+G145+G153+G160</f>
        <v>#REF!</v>
      </c>
      <c r="H105" s="588">
        <f t="shared" si="22"/>
        <v>146913.88999999996</v>
      </c>
      <c r="I105" s="588">
        <f t="shared" si="22"/>
        <v>0</v>
      </c>
      <c r="J105" s="379">
        <f t="shared" si="22"/>
        <v>190987.04245000001</v>
      </c>
      <c r="K105" s="379">
        <f t="shared" si="22"/>
        <v>8182.442</v>
      </c>
      <c r="L105" s="379">
        <f t="shared" si="22"/>
        <v>199169.48444999996</v>
      </c>
      <c r="M105" s="36">
        <f t="shared" si="22"/>
        <v>1106.3000000000002</v>
      </c>
      <c r="N105" s="94">
        <f t="shared" si="22"/>
        <v>65755.5965</v>
      </c>
    </row>
    <row r="106" spans="1:18">
      <c r="A106" s="24" t="s">
        <v>65</v>
      </c>
      <c r="B106" s="25" t="s">
        <v>186</v>
      </c>
      <c r="C106" s="25" t="s">
        <v>32</v>
      </c>
      <c r="D106" s="25" t="s">
        <v>21</v>
      </c>
      <c r="E106" s="25"/>
      <c r="F106" s="25"/>
      <c r="G106" s="568">
        <f t="shared" ref="G106:N107" si="23">G107</f>
        <v>-926.36</v>
      </c>
      <c r="H106" s="568">
        <f t="shared" si="23"/>
        <v>3734</v>
      </c>
      <c r="I106" s="568">
        <f t="shared" si="23"/>
        <v>0</v>
      </c>
      <c r="J106" s="488">
        <f t="shared" si="23"/>
        <v>0</v>
      </c>
      <c r="K106" s="488">
        <f t="shared" si="23"/>
        <v>0</v>
      </c>
      <c r="L106" s="488">
        <f t="shared" si="23"/>
        <v>0</v>
      </c>
      <c r="M106" s="570">
        <f t="shared" si="23"/>
        <v>805.6</v>
      </c>
      <c r="N106" s="96">
        <f t="shared" si="23"/>
        <v>805.6</v>
      </c>
    </row>
    <row r="107" spans="1:18" hidden="1">
      <c r="A107" s="31" t="s">
        <v>194</v>
      </c>
      <c r="B107" s="26" t="s">
        <v>186</v>
      </c>
      <c r="C107" s="26" t="s">
        <v>32</v>
      </c>
      <c r="D107" s="26" t="s">
        <v>21</v>
      </c>
      <c r="E107" s="26" t="s">
        <v>195</v>
      </c>
      <c r="F107" s="26"/>
      <c r="G107" s="147">
        <f t="shared" si="23"/>
        <v>-926.36</v>
      </c>
      <c r="H107" s="147">
        <f t="shared" si="23"/>
        <v>3734</v>
      </c>
      <c r="I107" s="147">
        <f t="shared" si="23"/>
        <v>0</v>
      </c>
      <c r="J107" s="627">
        <f t="shared" si="23"/>
        <v>0</v>
      </c>
      <c r="K107" s="627">
        <f t="shared" si="23"/>
        <v>0</v>
      </c>
      <c r="L107" s="627">
        <f t="shared" si="23"/>
        <v>0</v>
      </c>
      <c r="M107" s="42">
        <f t="shared" si="23"/>
        <v>805.6</v>
      </c>
      <c r="N107" s="43">
        <f t="shared" si="23"/>
        <v>805.6</v>
      </c>
    </row>
    <row r="108" spans="1:18" ht="30" hidden="1">
      <c r="A108" s="31" t="s">
        <v>145</v>
      </c>
      <c r="B108" s="26" t="s">
        <v>186</v>
      </c>
      <c r="C108" s="26" t="s">
        <v>32</v>
      </c>
      <c r="D108" s="26" t="s">
        <v>21</v>
      </c>
      <c r="E108" s="26" t="s">
        <v>196</v>
      </c>
      <c r="F108" s="26"/>
      <c r="G108" s="147">
        <f t="shared" ref="G108:M108" si="24">G109+G110</f>
        <v>-926.36</v>
      </c>
      <c r="H108" s="147">
        <f t="shared" si="24"/>
        <v>3734</v>
      </c>
      <c r="I108" s="147">
        <f t="shared" si="24"/>
        <v>0</v>
      </c>
      <c r="J108" s="627">
        <f t="shared" si="24"/>
        <v>0</v>
      </c>
      <c r="K108" s="627">
        <f t="shared" si="24"/>
        <v>0</v>
      </c>
      <c r="L108" s="627">
        <f t="shared" si="24"/>
        <v>0</v>
      </c>
      <c r="M108" s="42">
        <f t="shared" si="24"/>
        <v>805.6</v>
      </c>
      <c r="N108" s="43">
        <f>N109+N110</f>
        <v>805.6</v>
      </c>
    </row>
    <row r="109" spans="1:18" ht="30" hidden="1">
      <c r="A109" s="31" t="s">
        <v>197</v>
      </c>
      <c r="B109" s="26" t="s">
        <v>186</v>
      </c>
      <c r="C109" s="26" t="s">
        <v>32</v>
      </c>
      <c r="D109" s="26" t="s">
        <v>21</v>
      </c>
      <c r="E109" s="26" t="s">
        <v>196</v>
      </c>
      <c r="F109" s="26" t="s">
        <v>142</v>
      </c>
      <c r="G109" s="147">
        <f>-36.76+103.4</f>
        <v>66.640000000000015</v>
      </c>
      <c r="H109" s="589">
        <v>2606</v>
      </c>
      <c r="I109" s="147"/>
      <c r="J109" s="627"/>
      <c r="K109" s="627"/>
      <c r="L109" s="627">
        <f>J109+K109</f>
        <v>0</v>
      </c>
      <c r="M109" s="42">
        <f>-44.4+915</f>
        <v>870.6</v>
      </c>
      <c r="N109" s="30">
        <f>L109+M109</f>
        <v>870.6</v>
      </c>
      <c r="P109" s="97"/>
    </row>
    <row r="110" spans="1:18" ht="60" hidden="1">
      <c r="A110" s="31" t="s">
        <v>147</v>
      </c>
      <c r="B110" s="26" t="s">
        <v>186</v>
      </c>
      <c r="C110" s="26" t="s">
        <v>32</v>
      </c>
      <c r="D110" s="26" t="s">
        <v>21</v>
      </c>
      <c r="E110" s="26" t="s">
        <v>198</v>
      </c>
      <c r="F110" s="26" t="s">
        <v>142</v>
      </c>
      <c r="G110" s="147">
        <f>-112.8-880.2</f>
        <v>-993</v>
      </c>
      <c r="H110" s="589">
        <v>1128</v>
      </c>
      <c r="I110" s="147"/>
      <c r="J110" s="627"/>
      <c r="K110" s="627"/>
      <c r="L110" s="627">
        <f>J110+K110</f>
        <v>0</v>
      </c>
      <c r="M110" s="42">
        <v>-65</v>
      </c>
      <c r="N110" s="30">
        <f>L110+M110</f>
        <v>-65</v>
      </c>
    </row>
    <row r="111" spans="1:18">
      <c r="A111" s="24" t="s">
        <v>66</v>
      </c>
      <c r="B111" s="25" t="s">
        <v>186</v>
      </c>
      <c r="C111" s="25" t="s">
        <v>32</v>
      </c>
      <c r="D111" s="25" t="s">
        <v>22</v>
      </c>
      <c r="E111" s="25"/>
      <c r="F111" s="25"/>
      <c r="G111" s="206">
        <f>G114+G125+G136+G141+G143+G112</f>
        <v>5433.36</v>
      </c>
      <c r="H111" s="206">
        <f>H114+H125+H136+H141+H143+H112</f>
        <v>135780.43999999997</v>
      </c>
      <c r="I111" s="206">
        <f>I114+I125+I136+I141+I143+I112</f>
        <v>0</v>
      </c>
      <c r="J111" s="488">
        <f>J114+J125+J136+J141+J143+J112+J130+J133</f>
        <v>180958.57897</v>
      </c>
      <c r="K111" s="488">
        <f>K114+K125+K136+K141+K143+K112+K130+K133</f>
        <v>8364.1610000000001</v>
      </c>
      <c r="L111" s="488">
        <f t="shared" ref="L111" si="25">L114+L125+L136+L141+L143+L112+L130+L133</f>
        <v>189322.73996999997</v>
      </c>
      <c r="M111" s="60">
        <f>M114+M125+M136+M141+M143+M112</f>
        <v>1721.3940000000002</v>
      </c>
      <c r="N111" s="98">
        <f>N114+N125+N136+N141+N143+N112</f>
        <v>57878.732000000004</v>
      </c>
    </row>
    <row r="112" spans="1:18" ht="29.25" customHeight="1">
      <c r="A112" s="31" t="s">
        <v>199</v>
      </c>
      <c r="B112" s="26" t="s">
        <v>186</v>
      </c>
      <c r="C112" s="26" t="s">
        <v>32</v>
      </c>
      <c r="D112" s="26" t="s">
        <v>22</v>
      </c>
      <c r="E112" s="26" t="s">
        <v>200</v>
      </c>
      <c r="F112" s="26"/>
      <c r="G112" s="147">
        <f t="shared" ref="G112:N112" si="26">G113</f>
        <v>4600</v>
      </c>
      <c r="H112" s="147">
        <f t="shared" si="26"/>
        <v>0</v>
      </c>
      <c r="I112" s="147">
        <f t="shared" si="26"/>
        <v>0</v>
      </c>
      <c r="J112" s="627">
        <f t="shared" si="26"/>
        <v>4000</v>
      </c>
      <c r="K112" s="627">
        <f t="shared" si="26"/>
        <v>0</v>
      </c>
      <c r="L112" s="627">
        <f t="shared" si="26"/>
        <v>4000</v>
      </c>
      <c r="M112" s="42">
        <f t="shared" si="26"/>
        <v>0</v>
      </c>
      <c r="N112" s="43">
        <f t="shared" si="26"/>
        <v>4000</v>
      </c>
    </row>
    <row r="113" spans="1:20" ht="30" customHeight="1">
      <c r="A113" s="31" t="s">
        <v>197</v>
      </c>
      <c r="B113" s="26" t="s">
        <v>186</v>
      </c>
      <c r="C113" s="26" t="s">
        <v>32</v>
      </c>
      <c r="D113" s="26" t="s">
        <v>22</v>
      </c>
      <c r="E113" s="26" t="s">
        <v>200</v>
      </c>
      <c r="F113" s="26" t="s">
        <v>142</v>
      </c>
      <c r="G113" s="147">
        <v>4600</v>
      </c>
      <c r="H113" s="589"/>
      <c r="I113" s="147"/>
      <c r="J113" s="627">
        <v>4000</v>
      </c>
      <c r="K113" s="627"/>
      <c r="L113" s="627">
        <f>J113+K113</f>
        <v>4000</v>
      </c>
      <c r="M113" s="42"/>
      <c r="N113" s="30">
        <f>L113+M113</f>
        <v>4000</v>
      </c>
    </row>
    <row r="114" spans="1:20" ht="45">
      <c r="A114" s="31" t="s">
        <v>201</v>
      </c>
      <c r="B114" s="26" t="s">
        <v>186</v>
      </c>
      <c r="C114" s="26" t="s">
        <v>32</v>
      </c>
      <c r="D114" s="26" t="s">
        <v>22</v>
      </c>
      <c r="E114" s="26" t="s">
        <v>202</v>
      </c>
      <c r="F114" s="26"/>
      <c r="G114" s="592">
        <f t="shared" ref="G114:N114" si="27">G115</f>
        <v>867.76</v>
      </c>
      <c r="H114" s="592">
        <f t="shared" si="27"/>
        <v>122607.1</v>
      </c>
      <c r="I114" s="592">
        <f t="shared" si="27"/>
        <v>0</v>
      </c>
      <c r="J114" s="627">
        <f t="shared" si="27"/>
        <v>159906.60696999999</v>
      </c>
      <c r="K114" s="627">
        <f>K115</f>
        <v>1345.9710000000005</v>
      </c>
      <c r="L114" s="627">
        <f t="shared" si="27"/>
        <v>161252.57796999998</v>
      </c>
      <c r="M114" s="28">
        <f t="shared" si="27"/>
        <v>1706.3940000000002</v>
      </c>
      <c r="N114" s="55">
        <f t="shared" si="27"/>
        <v>41368.466000000008</v>
      </c>
    </row>
    <row r="115" spans="1:20" ht="30">
      <c r="A115" s="31" t="s">
        <v>145</v>
      </c>
      <c r="B115" s="26" t="s">
        <v>186</v>
      </c>
      <c r="C115" s="26" t="s">
        <v>32</v>
      </c>
      <c r="D115" s="26" t="s">
        <v>22</v>
      </c>
      <c r="E115" s="26" t="s">
        <v>203</v>
      </c>
      <c r="F115" s="26"/>
      <c r="G115" s="147">
        <f>G116+G117</f>
        <v>867.76</v>
      </c>
      <c r="H115" s="147">
        <f>H116+H117</f>
        <v>122607.1</v>
      </c>
      <c r="I115" s="147">
        <f>I116+I117</f>
        <v>0</v>
      </c>
      <c r="J115" s="627">
        <f>J116+J117+J118+J119+J120+J122+J124+J121+J123</f>
        <v>159906.60696999999</v>
      </c>
      <c r="K115" s="627">
        <f>K116+K117+K118+K119+K120+K122+K124+K121+K123</f>
        <v>1345.9710000000005</v>
      </c>
      <c r="L115" s="627">
        <f>L116+L117+L118+L119+L120+L122+L124+L121+L123</f>
        <v>161252.57796999998</v>
      </c>
      <c r="M115" s="345">
        <f>M116+M117+M118+M119+M120+M122+M124</f>
        <v>1706.3940000000002</v>
      </c>
      <c r="N115" s="57">
        <f>N116+N117+N118+N119+N120+N122+N124</f>
        <v>41368.466000000008</v>
      </c>
    </row>
    <row r="116" spans="1:20" ht="30">
      <c r="A116" s="31" t="s">
        <v>197</v>
      </c>
      <c r="B116" s="26" t="s">
        <v>186</v>
      </c>
      <c r="C116" s="26" t="s">
        <v>32</v>
      </c>
      <c r="D116" s="26" t="s">
        <v>22</v>
      </c>
      <c r="E116" s="26" t="s">
        <v>203</v>
      </c>
      <c r="F116" s="26" t="s">
        <v>142</v>
      </c>
      <c r="G116" s="147">
        <f>36.76+38-200</f>
        <v>-125.24000000000001</v>
      </c>
      <c r="H116" s="589">
        <v>121495.1</v>
      </c>
      <c r="I116" s="147"/>
      <c r="J116" s="627">
        <v>36426.601000000002</v>
      </c>
      <c r="K116" s="627">
        <f>50-2.76-669.769+248.2</f>
        <v>-374.32900000000001</v>
      </c>
      <c r="L116" s="627">
        <f t="shared" ref="L116:L124" si="28">J116+K116</f>
        <v>36052.272000000004</v>
      </c>
      <c r="M116" s="99">
        <f>102.98+1108+1100.414</f>
        <v>2311.3940000000002</v>
      </c>
      <c r="N116" s="30">
        <f>L116+M116</f>
        <v>38363.666000000005</v>
      </c>
      <c r="O116" s="44">
        <f>31884.555-250-1213-200</f>
        <v>30221.555</v>
      </c>
      <c r="P116" s="14">
        <f>L116-O116</f>
        <v>5830.7170000000042</v>
      </c>
      <c r="T116" s="15">
        <f>L120+L122</f>
        <v>7027.2370199999996</v>
      </c>
    </row>
    <row r="117" spans="1:20" ht="60">
      <c r="A117" s="31" t="s">
        <v>147</v>
      </c>
      <c r="B117" s="26" t="s">
        <v>186</v>
      </c>
      <c r="C117" s="26" t="s">
        <v>32</v>
      </c>
      <c r="D117" s="26" t="s">
        <v>22</v>
      </c>
      <c r="E117" s="26" t="s">
        <v>204</v>
      </c>
      <c r="F117" s="26" t="s">
        <v>142</v>
      </c>
      <c r="G117" s="147">
        <f>112.8+880.2</f>
        <v>993</v>
      </c>
      <c r="H117" s="589">
        <v>1112</v>
      </c>
      <c r="I117" s="147"/>
      <c r="J117" s="627">
        <v>3609.8</v>
      </c>
      <c r="K117" s="627"/>
      <c r="L117" s="627">
        <f t="shared" si="28"/>
        <v>3609.8</v>
      </c>
      <c r="M117" s="42">
        <f>-605</f>
        <v>-605</v>
      </c>
      <c r="N117" s="30">
        <f>L117+M117</f>
        <v>3004.8</v>
      </c>
      <c r="O117" s="11">
        <v>3609.8</v>
      </c>
      <c r="P117" s="15">
        <f>L117-O117</f>
        <v>0</v>
      </c>
    </row>
    <row r="118" spans="1:20" ht="90">
      <c r="A118" s="100" t="s">
        <v>205</v>
      </c>
      <c r="B118" s="26" t="s">
        <v>186</v>
      </c>
      <c r="C118" s="26" t="s">
        <v>32</v>
      </c>
      <c r="D118" s="26" t="s">
        <v>22</v>
      </c>
      <c r="E118" s="26" t="s">
        <v>206</v>
      </c>
      <c r="F118" s="26" t="s">
        <v>142</v>
      </c>
      <c r="G118" s="147"/>
      <c r="H118" s="589"/>
      <c r="I118" s="147"/>
      <c r="J118" s="627">
        <v>107914.7</v>
      </c>
      <c r="K118" s="627">
        <f>4679.5</f>
        <v>4679.5</v>
      </c>
      <c r="L118" s="627">
        <f t="shared" si="28"/>
        <v>112594.2</v>
      </c>
      <c r="M118" s="42"/>
      <c r="N118" s="30"/>
      <c r="O118" s="11">
        <v>91019</v>
      </c>
    </row>
    <row r="119" spans="1:20" ht="75">
      <c r="A119" s="31" t="s">
        <v>207</v>
      </c>
      <c r="B119" s="26" t="s">
        <v>186</v>
      </c>
      <c r="C119" s="26" t="s">
        <v>32</v>
      </c>
      <c r="D119" s="26" t="s">
        <v>22</v>
      </c>
      <c r="E119" s="26" t="s">
        <v>208</v>
      </c>
      <c r="F119" s="26" t="s">
        <v>142</v>
      </c>
      <c r="G119" s="147"/>
      <c r="H119" s="589"/>
      <c r="I119" s="147"/>
      <c r="J119" s="627">
        <v>412.76895000000002</v>
      </c>
      <c r="K119" s="628">
        <v>-80</v>
      </c>
      <c r="L119" s="627">
        <f t="shared" si="28"/>
        <v>332.76895000000002</v>
      </c>
      <c r="M119" s="42"/>
      <c r="N119" s="30"/>
      <c r="O119" s="11">
        <v>396.7</v>
      </c>
      <c r="P119" s="15">
        <f>K119</f>
        <v>-80</v>
      </c>
    </row>
    <row r="120" spans="1:20" ht="45">
      <c r="A120" s="31" t="s">
        <v>153</v>
      </c>
      <c r="B120" s="26" t="s">
        <v>186</v>
      </c>
      <c r="C120" s="26" t="s">
        <v>32</v>
      </c>
      <c r="D120" s="26" t="s">
        <v>22</v>
      </c>
      <c r="E120" s="26" t="s">
        <v>209</v>
      </c>
      <c r="F120" s="26" t="s">
        <v>142</v>
      </c>
      <c r="G120" s="147"/>
      <c r="H120" s="589"/>
      <c r="I120" s="147"/>
      <c r="J120" s="627">
        <v>9055.0700199999992</v>
      </c>
      <c r="K120" s="628">
        <v>-2479.1999999999998</v>
      </c>
      <c r="L120" s="627">
        <f t="shared" si="28"/>
        <v>6575.8700199999994</v>
      </c>
      <c r="M120" s="42"/>
      <c r="N120" s="30"/>
    </row>
    <row r="121" spans="1:20" ht="30" hidden="1">
      <c r="A121" s="100" t="s">
        <v>152</v>
      </c>
      <c r="B121" s="26" t="s">
        <v>186</v>
      </c>
      <c r="C121" s="26" t="s">
        <v>32</v>
      </c>
      <c r="D121" s="26" t="s">
        <v>22</v>
      </c>
      <c r="E121" s="26" t="s">
        <v>209</v>
      </c>
      <c r="F121" s="26" t="s">
        <v>142</v>
      </c>
      <c r="G121" s="147"/>
      <c r="H121" s="589"/>
      <c r="I121" s="147"/>
      <c r="J121" s="627"/>
      <c r="K121" s="627"/>
      <c r="L121" s="627">
        <f>J121+K121</f>
        <v>0</v>
      </c>
      <c r="M121" s="42"/>
      <c r="N121" s="30"/>
    </row>
    <row r="122" spans="1:20" ht="45">
      <c r="A122" s="31" t="s">
        <v>155</v>
      </c>
      <c r="B122" s="26" t="s">
        <v>186</v>
      </c>
      <c r="C122" s="26" t="s">
        <v>32</v>
      </c>
      <c r="D122" s="26" t="s">
        <v>22</v>
      </c>
      <c r="E122" s="26" t="s">
        <v>210</v>
      </c>
      <c r="F122" s="26" t="s">
        <v>142</v>
      </c>
      <c r="G122" s="147"/>
      <c r="H122" s="589"/>
      <c r="I122" s="147"/>
      <c r="J122" s="627">
        <v>851.36699999999996</v>
      </c>
      <c r="K122" s="627">
        <f>-400</f>
        <v>-400</v>
      </c>
      <c r="L122" s="627">
        <f t="shared" si="28"/>
        <v>451.36699999999996</v>
      </c>
      <c r="M122" s="42"/>
      <c r="N122" s="30"/>
      <c r="O122" s="11">
        <v>1213</v>
      </c>
      <c r="R122" s="15">
        <f>L122+L120</f>
        <v>7027.2370199999996</v>
      </c>
    </row>
    <row r="123" spans="1:20" ht="75" hidden="1">
      <c r="A123" s="31" t="s">
        <v>207</v>
      </c>
      <c r="B123" s="26" t="s">
        <v>186</v>
      </c>
      <c r="C123" s="26" t="s">
        <v>32</v>
      </c>
      <c r="D123" s="26" t="s">
        <v>22</v>
      </c>
      <c r="E123" s="26" t="s">
        <v>210</v>
      </c>
      <c r="F123" s="26" t="s">
        <v>142</v>
      </c>
      <c r="G123" s="147"/>
      <c r="H123" s="589"/>
      <c r="I123" s="147"/>
      <c r="J123" s="627"/>
      <c r="K123" s="627"/>
      <c r="L123" s="627">
        <f>J123+K123</f>
        <v>0</v>
      </c>
      <c r="M123" s="42"/>
      <c r="N123" s="30"/>
      <c r="P123" s="15">
        <f>K123</f>
        <v>0</v>
      </c>
    </row>
    <row r="124" spans="1:20" ht="60">
      <c r="A124" s="31" t="s">
        <v>211</v>
      </c>
      <c r="B124" s="26" t="s">
        <v>186</v>
      </c>
      <c r="C124" s="26" t="s">
        <v>32</v>
      </c>
      <c r="D124" s="26" t="s">
        <v>22</v>
      </c>
      <c r="E124" s="26" t="s">
        <v>212</v>
      </c>
      <c r="F124" s="26" t="s">
        <v>142</v>
      </c>
      <c r="G124" s="147"/>
      <c r="H124" s="589"/>
      <c r="I124" s="147"/>
      <c r="J124" s="627">
        <v>1636.3</v>
      </c>
      <c r="K124" s="627"/>
      <c r="L124" s="627">
        <f t="shared" si="28"/>
        <v>1636.3</v>
      </c>
      <c r="M124" s="42"/>
      <c r="N124" s="30"/>
      <c r="O124" s="11">
        <v>1636.3</v>
      </c>
      <c r="P124" s="15">
        <f>K124</f>
        <v>0</v>
      </c>
      <c r="S124" s="15">
        <f>K122+K120</f>
        <v>-2879.2</v>
      </c>
    </row>
    <row r="125" spans="1:20" ht="30">
      <c r="A125" s="31" t="s">
        <v>213</v>
      </c>
      <c r="B125" s="26" t="s">
        <v>186</v>
      </c>
      <c r="C125" s="26" t="s">
        <v>32</v>
      </c>
      <c r="D125" s="26" t="s">
        <v>22</v>
      </c>
      <c r="E125" s="26" t="s">
        <v>214</v>
      </c>
      <c r="F125" s="26"/>
      <c r="G125" s="147">
        <f t="shared" ref="G125:N125" si="29">G126</f>
        <v>165.6</v>
      </c>
      <c r="H125" s="147">
        <f t="shared" si="29"/>
        <v>10207.24</v>
      </c>
      <c r="I125" s="147">
        <f t="shared" si="29"/>
        <v>0</v>
      </c>
      <c r="J125" s="627">
        <f t="shared" si="29"/>
        <v>9902.9719999999998</v>
      </c>
      <c r="K125" s="627">
        <f>K126</f>
        <v>-173.97899999999998</v>
      </c>
      <c r="L125" s="627">
        <f t="shared" si="29"/>
        <v>9728.9930000000004</v>
      </c>
      <c r="M125" s="42">
        <f t="shared" si="29"/>
        <v>15</v>
      </c>
      <c r="N125" s="43">
        <f t="shared" si="29"/>
        <v>9471.2659999999996</v>
      </c>
    </row>
    <row r="126" spans="1:20" ht="30">
      <c r="A126" s="31" t="s">
        <v>145</v>
      </c>
      <c r="B126" s="26" t="s">
        <v>186</v>
      </c>
      <c r="C126" s="26" t="s">
        <v>32</v>
      </c>
      <c r="D126" s="26" t="s">
        <v>22</v>
      </c>
      <c r="E126" s="26" t="s">
        <v>215</v>
      </c>
      <c r="F126" s="26"/>
      <c r="G126" s="147">
        <f t="shared" ref="G126:M126" si="30">G127+G129</f>
        <v>165.6</v>
      </c>
      <c r="H126" s="147">
        <f t="shared" si="30"/>
        <v>10207.24</v>
      </c>
      <c r="I126" s="147">
        <f t="shared" si="30"/>
        <v>0</v>
      </c>
      <c r="J126" s="627">
        <f>J127+J129+J128</f>
        <v>9902.9719999999998</v>
      </c>
      <c r="K126" s="627">
        <f>K127+K129+K128</f>
        <v>-173.97899999999998</v>
      </c>
      <c r="L126" s="627">
        <f>L127+L129+L128</f>
        <v>9728.9930000000004</v>
      </c>
      <c r="M126" s="42">
        <f t="shared" si="30"/>
        <v>15</v>
      </c>
      <c r="N126" s="55">
        <f>N127+N129</f>
        <v>9471.2659999999996</v>
      </c>
    </row>
    <row r="127" spans="1:20" ht="27.75" customHeight="1">
      <c r="A127" s="31" t="s">
        <v>152</v>
      </c>
      <c r="B127" s="26" t="s">
        <v>186</v>
      </c>
      <c r="C127" s="26" t="s">
        <v>32</v>
      </c>
      <c r="D127" s="26" t="s">
        <v>22</v>
      </c>
      <c r="E127" s="26" t="s">
        <v>215</v>
      </c>
      <c r="F127" s="26" t="s">
        <v>142</v>
      </c>
      <c r="G127" s="147">
        <v>165.6</v>
      </c>
      <c r="H127" s="589">
        <v>10077.24</v>
      </c>
      <c r="I127" s="147"/>
      <c r="J127" s="627">
        <v>9402.9719999999998</v>
      </c>
      <c r="K127" s="629">
        <f>93.905+32.116-300</f>
        <v>-173.97899999999998</v>
      </c>
      <c r="L127" s="627">
        <f>J127+K127</f>
        <v>9228.9930000000004</v>
      </c>
      <c r="M127" s="42">
        <f>15</f>
        <v>15</v>
      </c>
      <c r="N127" s="55">
        <f>L127+M127</f>
        <v>9243.9930000000004</v>
      </c>
      <c r="O127" s="44">
        <v>8117.3050000000003</v>
      </c>
      <c r="P127" s="14">
        <f>L127-O127</f>
        <v>1111.6880000000001</v>
      </c>
    </row>
    <row r="128" spans="1:20" ht="27.75" customHeight="1">
      <c r="A128" s="31" t="s">
        <v>153</v>
      </c>
      <c r="B128" s="26" t="s">
        <v>186</v>
      </c>
      <c r="C128" s="26" t="s">
        <v>32</v>
      </c>
      <c r="D128" s="26" t="s">
        <v>22</v>
      </c>
      <c r="E128" s="26" t="s">
        <v>216</v>
      </c>
      <c r="F128" s="26" t="s">
        <v>142</v>
      </c>
      <c r="G128" s="147"/>
      <c r="H128" s="589"/>
      <c r="I128" s="147"/>
      <c r="J128" s="627">
        <v>272.72699999999998</v>
      </c>
      <c r="K128" s="629"/>
      <c r="L128" s="627">
        <f>J128+K128</f>
        <v>272.72699999999998</v>
      </c>
      <c r="M128" s="42"/>
      <c r="N128" s="55"/>
      <c r="O128" s="44"/>
      <c r="P128" s="14"/>
    </row>
    <row r="129" spans="1:14" ht="45">
      <c r="A129" s="31" t="s">
        <v>155</v>
      </c>
      <c r="B129" s="26" t="s">
        <v>186</v>
      </c>
      <c r="C129" s="26" t="s">
        <v>32</v>
      </c>
      <c r="D129" s="26" t="s">
        <v>22</v>
      </c>
      <c r="E129" s="26" t="s">
        <v>217</v>
      </c>
      <c r="F129" s="26" t="s">
        <v>142</v>
      </c>
      <c r="G129" s="147"/>
      <c r="H129" s="589">
        <v>130</v>
      </c>
      <c r="I129" s="147"/>
      <c r="J129" s="627">
        <v>227.273</v>
      </c>
      <c r="K129" s="627"/>
      <c r="L129" s="627">
        <f>J129+K129</f>
        <v>227.273</v>
      </c>
      <c r="M129" s="42"/>
      <c r="N129" s="30">
        <f>L129+M129</f>
        <v>227.273</v>
      </c>
    </row>
    <row r="130" spans="1:14" ht="45">
      <c r="A130" s="31" t="s">
        <v>1149</v>
      </c>
      <c r="B130" s="26" t="s">
        <v>186</v>
      </c>
      <c r="C130" s="26" t="s">
        <v>32</v>
      </c>
      <c r="D130" s="26" t="s">
        <v>22</v>
      </c>
      <c r="E130" s="26" t="s">
        <v>1135</v>
      </c>
      <c r="F130" s="26"/>
      <c r="G130" s="147"/>
      <c r="H130" s="589"/>
      <c r="I130" s="147"/>
      <c r="J130" s="627">
        <f>SUM(J131:J132)</f>
        <v>4150</v>
      </c>
      <c r="K130" s="627">
        <f>SUM(K131:K132)</f>
        <v>2554</v>
      </c>
      <c r="L130" s="627">
        <f>SUM(L131:L132)</f>
        <v>6704</v>
      </c>
      <c r="M130" s="466">
        <f>SUM(M131:M132)</f>
        <v>0</v>
      </c>
      <c r="N130" s="378">
        <f>SUM(N131:N132)</f>
        <v>0</v>
      </c>
    </row>
    <row r="131" spans="1:14" ht="30">
      <c r="A131" s="31" t="s">
        <v>197</v>
      </c>
      <c r="B131" s="26" t="s">
        <v>186</v>
      </c>
      <c r="C131" s="26" t="s">
        <v>32</v>
      </c>
      <c r="D131" s="26" t="s">
        <v>22</v>
      </c>
      <c r="E131" s="26" t="s">
        <v>1135</v>
      </c>
      <c r="F131" s="26" t="s">
        <v>142</v>
      </c>
      <c r="G131" s="147"/>
      <c r="H131" s="589"/>
      <c r="I131" s="147"/>
      <c r="J131" s="627">
        <v>4000</v>
      </c>
      <c r="K131" s="627">
        <v>2554</v>
      </c>
      <c r="L131" s="627">
        <f>J131+K131</f>
        <v>6554</v>
      </c>
      <c r="M131" s="42"/>
      <c r="N131" s="30"/>
    </row>
    <row r="132" spans="1:14" ht="30">
      <c r="A132" s="31" t="s">
        <v>152</v>
      </c>
      <c r="B132" s="26" t="s">
        <v>186</v>
      </c>
      <c r="C132" s="26" t="s">
        <v>32</v>
      </c>
      <c r="D132" s="26" t="s">
        <v>22</v>
      </c>
      <c r="E132" s="26" t="s">
        <v>1136</v>
      </c>
      <c r="F132" s="26" t="s">
        <v>142</v>
      </c>
      <c r="G132" s="147"/>
      <c r="H132" s="589"/>
      <c r="I132" s="147"/>
      <c r="J132" s="627">
        <v>150</v>
      </c>
      <c r="K132" s="627"/>
      <c r="L132" s="627">
        <f>J132+K132</f>
        <v>150</v>
      </c>
      <c r="M132" s="42"/>
      <c r="N132" s="30"/>
    </row>
    <row r="133" spans="1:14" ht="30">
      <c r="A133" s="31" t="s">
        <v>1193</v>
      </c>
      <c r="B133" s="26" t="s">
        <v>186</v>
      </c>
      <c r="C133" s="26" t="s">
        <v>32</v>
      </c>
      <c r="D133" s="26" t="s">
        <v>22</v>
      </c>
      <c r="E133" s="26" t="s">
        <v>1191</v>
      </c>
      <c r="F133" s="26"/>
      <c r="G133" s="147"/>
      <c r="H133" s="589"/>
      <c r="I133" s="147"/>
      <c r="J133" s="627">
        <f>J134+J135</f>
        <v>0</v>
      </c>
      <c r="K133" s="627">
        <f t="shared" ref="K133:L133" si="31">K134+K135</f>
        <v>4598.1689999999999</v>
      </c>
      <c r="L133" s="627">
        <f t="shared" si="31"/>
        <v>4598.1689999999999</v>
      </c>
      <c r="M133" s="42"/>
      <c r="N133" s="30"/>
    </row>
    <row r="134" spans="1:14" ht="30">
      <c r="A134" s="31" t="s">
        <v>1194</v>
      </c>
      <c r="B134" s="26" t="s">
        <v>186</v>
      </c>
      <c r="C134" s="26" t="s">
        <v>32</v>
      </c>
      <c r="D134" s="26" t="s">
        <v>22</v>
      </c>
      <c r="E134" s="26" t="s">
        <v>1191</v>
      </c>
      <c r="F134" s="26" t="s">
        <v>142</v>
      </c>
      <c r="G134" s="147"/>
      <c r="H134" s="589"/>
      <c r="I134" s="147"/>
      <c r="J134" s="627"/>
      <c r="K134" s="627">
        <v>4367.3689999999997</v>
      </c>
      <c r="L134" s="627">
        <f>J134+K134</f>
        <v>4367.3689999999997</v>
      </c>
      <c r="M134" s="42"/>
      <c r="N134" s="30"/>
    </row>
    <row r="135" spans="1:14" ht="30">
      <c r="A135" s="31" t="s">
        <v>1195</v>
      </c>
      <c r="B135" s="26" t="s">
        <v>186</v>
      </c>
      <c r="C135" s="26" t="s">
        <v>32</v>
      </c>
      <c r="D135" s="26" t="s">
        <v>22</v>
      </c>
      <c r="E135" s="26" t="s">
        <v>1192</v>
      </c>
      <c r="F135" s="26" t="s">
        <v>142</v>
      </c>
      <c r="G135" s="147"/>
      <c r="H135" s="589"/>
      <c r="I135" s="147"/>
      <c r="J135" s="627"/>
      <c r="K135" s="627">
        <v>230.8</v>
      </c>
      <c r="L135" s="627">
        <f>J135+K135</f>
        <v>230.8</v>
      </c>
      <c r="M135" s="42"/>
      <c r="N135" s="30"/>
    </row>
    <row r="136" spans="1:14" ht="30">
      <c r="A136" s="31" t="s">
        <v>170</v>
      </c>
      <c r="B136" s="26" t="s">
        <v>186</v>
      </c>
      <c r="C136" s="26" t="s">
        <v>32</v>
      </c>
      <c r="D136" s="26" t="s">
        <v>22</v>
      </c>
      <c r="E136" s="26" t="s">
        <v>171</v>
      </c>
      <c r="F136" s="26"/>
      <c r="G136" s="147">
        <f t="shared" ref="G136:N137" si="32">G137</f>
        <v>0</v>
      </c>
      <c r="H136" s="147">
        <f t="shared" si="32"/>
        <v>2756.5</v>
      </c>
      <c r="I136" s="147">
        <f t="shared" si="32"/>
        <v>0</v>
      </c>
      <c r="J136" s="627">
        <f>J137+J139</f>
        <v>2585</v>
      </c>
      <c r="K136" s="627">
        <f>K137+K139</f>
        <v>0</v>
      </c>
      <c r="L136" s="627">
        <f>L137+L139</f>
        <v>2585</v>
      </c>
      <c r="M136" s="29">
        <f>M137+M139</f>
        <v>0</v>
      </c>
      <c r="N136" s="30">
        <f>N137+N139</f>
        <v>2585</v>
      </c>
    </row>
    <row r="137" spans="1:14" ht="75">
      <c r="A137" s="31" t="s">
        <v>218</v>
      </c>
      <c r="B137" s="26" t="s">
        <v>186</v>
      </c>
      <c r="C137" s="26" t="s">
        <v>32</v>
      </c>
      <c r="D137" s="26" t="s">
        <v>22</v>
      </c>
      <c r="E137" s="26" t="s">
        <v>219</v>
      </c>
      <c r="F137" s="26"/>
      <c r="G137" s="147">
        <f t="shared" si="32"/>
        <v>0</v>
      </c>
      <c r="H137" s="589">
        <f t="shared" si="32"/>
        <v>2756.5</v>
      </c>
      <c r="I137" s="147">
        <f t="shared" si="32"/>
        <v>0</v>
      </c>
      <c r="J137" s="627">
        <f t="shared" si="32"/>
        <v>2585</v>
      </c>
      <c r="K137" s="627">
        <f>K138</f>
        <v>0</v>
      </c>
      <c r="L137" s="627">
        <f t="shared" si="32"/>
        <v>2585</v>
      </c>
      <c r="M137" s="42">
        <f t="shared" si="32"/>
        <v>0</v>
      </c>
      <c r="N137" s="30">
        <f t="shared" si="32"/>
        <v>2585</v>
      </c>
    </row>
    <row r="138" spans="1:14" ht="30">
      <c r="A138" s="31" t="s">
        <v>152</v>
      </c>
      <c r="B138" s="26" t="s">
        <v>186</v>
      </c>
      <c r="C138" s="26" t="s">
        <v>32</v>
      </c>
      <c r="D138" s="26" t="s">
        <v>22</v>
      </c>
      <c r="E138" s="26" t="s">
        <v>219</v>
      </c>
      <c r="F138" s="26" t="s">
        <v>142</v>
      </c>
      <c r="G138" s="147"/>
      <c r="H138" s="589">
        <v>2756.5</v>
      </c>
      <c r="I138" s="147"/>
      <c r="J138" s="627">
        <v>2585</v>
      </c>
      <c r="K138" s="627"/>
      <c r="L138" s="627">
        <f>J138+K138</f>
        <v>2585</v>
      </c>
      <c r="M138" s="42"/>
      <c r="N138" s="30">
        <f>L138+M138</f>
        <v>2585</v>
      </c>
    </row>
    <row r="139" spans="1:14" ht="45" hidden="1">
      <c r="A139" s="178" t="s">
        <v>220</v>
      </c>
      <c r="B139" s="595" t="s">
        <v>186</v>
      </c>
      <c r="C139" s="596" t="s">
        <v>32</v>
      </c>
      <c r="D139" s="596" t="s">
        <v>22</v>
      </c>
      <c r="E139" s="597">
        <v>5201200</v>
      </c>
      <c r="F139" s="596"/>
      <c r="G139" s="147"/>
      <c r="H139" s="589"/>
      <c r="I139" s="147"/>
      <c r="J139" s="627">
        <f>J140</f>
        <v>0</v>
      </c>
      <c r="K139" s="627">
        <f>K140</f>
        <v>0</v>
      </c>
      <c r="L139" s="627">
        <f>L140</f>
        <v>0</v>
      </c>
      <c r="M139" s="42">
        <f>M140</f>
        <v>0</v>
      </c>
      <c r="N139" s="30">
        <f>N140</f>
        <v>0</v>
      </c>
    </row>
    <row r="140" spans="1:14" ht="30" hidden="1">
      <c r="A140" s="178" t="s">
        <v>152</v>
      </c>
      <c r="B140" s="595" t="s">
        <v>186</v>
      </c>
      <c r="C140" s="596" t="s">
        <v>32</v>
      </c>
      <c r="D140" s="596" t="s">
        <v>22</v>
      </c>
      <c r="E140" s="597">
        <v>5201200</v>
      </c>
      <c r="F140" s="596" t="s">
        <v>142</v>
      </c>
      <c r="G140" s="147"/>
      <c r="H140" s="589"/>
      <c r="I140" s="147"/>
      <c r="J140" s="627"/>
      <c r="K140" s="627"/>
      <c r="L140" s="627">
        <f>J140+K140</f>
        <v>0</v>
      </c>
      <c r="M140" s="42"/>
      <c r="N140" s="30">
        <f>L140+M140</f>
        <v>0</v>
      </c>
    </row>
    <row r="141" spans="1:14" ht="17.25" hidden="1" customHeight="1">
      <c r="A141" s="88" t="s">
        <v>221</v>
      </c>
      <c r="B141" s="47" t="s">
        <v>186</v>
      </c>
      <c r="C141" s="47" t="s">
        <v>32</v>
      </c>
      <c r="D141" s="47" t="s">
        <v>22</v>
      </c>
      <c r="E141" s="47" t="s">
        <v>222</v>
      </c>
      <c r="F141" s="47"/>
      <c r="G141" s="590">
        <f t="shared" ref="G141:N141" si="33">G142</f>
        <v>-100</v>
      </c>
      <c r="H141" s="590">
        <f t="shared" si="33"/>
        <v>104.8</v>
      </c>
      <c r="I141" s="590">
        <f t="shared" si="33"/>
        <v>0</v>
      </c>
      <c r="J141" s="628">
        <f t="shared" si="33"/>
        <v>0</v>
      </c>
      <c r="K141" s="628">
        <f t="shared" si="33"/>
        <v>0</v>
      </c>
      <c r="L141" s="628">
        <f t="shared" si="33"/>
        <v>0</v>
      </c>
      <c r="M141" s="42">
        <f t="shared" si="33"/>
        <v>0</v>
      </c>
      <c r="N141" s="43">
        <f t="shared" si="33"/>
        <v>0</v>
      </c>
    </row>
    <row r="142" spans="1:14" ht="17.25" hidden="1" customHeight="1">
      <c r="A142" s="88" t="s">
        <v>223</v>
      </c>
      <c r="B142" s="47" t="s">
        <v>186</v>
      </c>
      <c r="C142" s="47" t="s">
        <v>32</v>
      </c>
      <c r="D142" s="47" t="s">
        <v>22</v>
      </c>
      <c r="E142" s="47" t="s">
        <v>222</v>
      </c>
      <c r="F142" s="47" t="s">
        <v>224</v>
      </c>
      <c r="G142" s="590">
        <v>-100</v>
      </c>
      <c r="H142" s="591">
        <v>104.8</v>
      </c>
      <c r="I142" s="590"/>
      <c r="J142" s="628"/>
      <c r="K142" s="628"/>
      <c r="L142" s="628">
        <f>J142+K142</f>
        <v>0</v>
      </c>
      <c r="M142" s="42"/>
      <c r="N142" s="30">
        <f>L142+M142</f>
        <v>0</v>
      </c>
    </row>
    <row r="143" spans="1:14" ht="45" customHeight="1">
      <c r="A143" s="31" t="s">
        <v>225</v>
      </c>
      <c r="B143" s="26" t="s">
        <v>186</v>
      </c>
      <c r="C143" s="26" t="s">
        <v>32</v>
      </c>
      <c r="D143" s="26" t="s">
        <v>22</v>
      </c>
      <c r="E143" s="26" t="s">
        <v>226</v>
      </c>
      <c r="F143" s="26"/>
      <c r="G143" s="147">
        <f t="shared" ref="G143:N143" si="34">G144</f>
        <v>-100</v>
      </c>
      <c r="H143" s="147">
        <f t="shared" si="34"/>
        <v>104.8</v>
      </c>
      <c r="I143" s="147">
        <f t="shared" si="34"/>
        <v>0</v>
      </c>
      <c r="J143" s="627">
        <f t="shared" si="34"/>
        <v>414</v>
      </c>
      <c r="K143" s="627">
        <f t="shared" si="34"/>
        <v>40</v>
      </c>
      <c r="L143" s="627">
        <f t="shared" si="34"/>
        <v>454</v>
      </c>
      <c r="M143" s="42">
        <f t="shared" si="34"/>
        <v>0</v>
      </c>
      <c r="N143" s="43">
        <f t="shared" si="34"/>
        <v>454</v>
      </c>
    </row>
    <row r="144" spans="1:14" ht="29.25" customHeight="1">
      <c r="A144" s="31" t="s">
        <v>135</v>
      </c>
      <c r="B144" s="26" t="s">
        <v>186</v>
      </c>
      <c r="C144" s="26" t="s">
        <v>32</v>
      </c>
      <c r="D144" s="26" t="s">
        <v>22</v>
      </c>
      <c r="E144" s="26" t="s">
        <v>226</v>
      </c>
      <c r="F144" s="26" t="s">
        <v>133</v>
      </c>
      <c r="G144" s="147">
        <v>-100</v>
      </c>
      <c r="H144" s="589">
        <v>104.8</v>
      </c>
      <c r="I144" s="147"/>
      <c r="J144" s="627">
        <v>414</v>
      </c>
      <c r="K144" s="627">
        <f>37.24+2.76</f>
        <v>40</v>
      </c>
      <c r="L144" s="627">
        <f>J144+K144</f>
        <v>454</v>
      </c>
      <c r="M144" s="42"/>
      <c r="N144" s="55">
        <f>L144+M144</f>
        <v>454</v>
      </c>
    </row>
    <row r="145" spans="1:16" ht="29.25">
      <c r="A145" s="24" t="s">
        <v>227</v>
      </c>
      <c r="B145" s="25" t="s">
        <v>186</v>
      </c>
      <c r="C145" s="25" t="s">
        <v>32</v>
      </c>
      <c r="D145" s="25" t="s">
        <v>28</v>
      </c>
      <c r="E145" s="25"/>
      <c r="F145" s="25"/>
      <c r="G145" s="568" t="e">
        <f t="shared" ref="G145:M145" si="35">G146+G149</f>
        <v>#REF!</v>
      </c>
      <c r="H145" s="568">
        <f t="shared" si="35"/>
        <v>234.8</v>
      </c>
      <c r="I145" s="568">
        <f t="shared" si="35"/>
        <v>0</v>
      </c>
      <c r="J145" s="488">
        <f>J146+J149+J151</f>
        <v>329.21</v>
      </c>
      <c r="K145" s="488">
        <f t="shared" ref="K145:L145" si="36">K146+K149+K151</f>
        <v>0</v>
      </c>
      <c r="L145" s="488">
        <f t="shared" si="36"/>
        <v>329.21</v>
      </c>
      <c r="M145" s="570">
        <f t="shared" si="35"/>
        <v>44.61</v>
      </c>
      <c r="N145" s="96">
        <f>N146+N149</f>
        <v>131.48899999999998</v>
      </c>
    </row>
    <row r="146" spans="1:16" ht="30">
      <c r="A146" s="31" t="s">
        <v>128</v>
      </c>
      <c r="B146" s="26" t="s">
        <v>186</v>
      </c>
      <c r="C146" s="26" t="s">
        <v>32</v>
      </c>
      <c r="D146" s="26" t="s">
        <v>28</v>
      </c>
      <c r="E146" s="26" t="s">
        <v>129</v>
      </c>
      <c r="F146" s="26"/>
      <c r="G146" s="147">
        <f t="shared" ref="G146:N147" si="37">G147</f>
        <v>-224</v>
      </c>
      <c r="H146" s="147">
        <f t="shared" si="37"/>
        <v>234.8</v>
      </c>
      <c r="I146" s="147">
        <f t="shared" si="37"/>
        <v>0</v>
      </c>
      <c r="J146" s="627">
        <f t="shared" si="37"/>
        <v>329.21</v>
      </c>
      <c r="K146" s="627">
        <f t="shared" si="37"/>
        <v>-242.33099999999999</v>
      </c>
      <c r="L146" s="627">
        <f t="shared" si="37"/>
        <v>86.878999999999991</v>
      </c>
      <c r="M146" s="42">
        <f t="shared" si="37"/>
        <v>0</v>
      </c>
      <c r="N146" s="43">
        <f t="shared" si="37"/>
        <v>86.878999999999991</v>
      </c>
    </row>
    <row r="147" spans="1:16" ht="30">
      <c r="A147" s="31" t="s">
        <v>130</v>
      </c>
      <c r="B147" s="26" t="s">
        <v>186</v>
      </c>
      <c r="C147" s="26" t="s">
        <v>32</v>
      </c>
      <c r="D147" s="26" t="s">
        <v>28</v>
      </c>
      <c r="E147" s="26" t="s">
        <v>131</v>
      </c>
      <c r="F147" s="26"/>
      <c r="G147" s="147">
        <f t="shared" si="37"/>
        <v>-224</v>
      </c>
      <c r="H147" s="147">
        <f t="shared" si="37"/>
        <v>234.8</v>
      </c>
      <c r="I147" s="147">
        <f t="shared" si="37"/>
        <v>0</v>
      </c>
      <c r="J147" s="627">
        <f t="shared" si="37"/>
        <v>329.21</v>
      </c>
      <c r="K147" s="627">
        <f t="shared" si="37"/>
        <v>-242.33099999999999</v>
      </c>
      <c r="L147" s="627">
        <f t="shared" si="37"/>
        <v>86.878999999999991</v>
      </c>
      <c r="M147" s="42">
        <f t="shared" si="37"/>
        <v>0</v>
      </c>
      <c r="N147" s="43">
        <f t="shared" si="37"/>
        <v>86.878999999999991</v>
      </c>
    </row>
    <row r="148" spans="1:16" ht="30">
      <c r="A148" s="31" t="s">
        <v>135</v>
      </c>
      <c r="B148" s="26" t="s">
        <v>186</v>
      </c>
      <c r="C148" s="26" t="s">
        <v>32</v>
      </c>
      <c r="D148" s="26" t="s">
        <v>28</v>
      </c>
      <c r="E148" s="26" t="s">
        <v>131</v>
      </c>
      <c r="F148" s="26" t="s">
        <v>133</v>
      </c>
      <c r="G148" s="147">
        <v>-224</v>
      </c>
      <c r="H148" s="589">
        <v>234.8</v>
      </c>
      <c r="I148" s="147"/>
      <c r="J148" s="627">
        <v>329.21</v>
      </c>
      <c r="K148" s="627">
        <f>-117.664-62-62.667</f>
        <v>-242.33099999999999</v>
      </c>
      <c r="L148" s="627">
        <f>J148+K148</f>
        <v>86.878999999999991</v>
      </c>
      <c r="M148" s="42"/>
      <c r="N148" s="30">
        <f>L148+M148</f>
        <v>86.878999999999991</v>
      </c>
      <c r="O148" s="44">
        <v>273.31</v>
      </c>
    </row>
    <row r="149" spans="1:16" ht="30" hidden="1">
      <c r="A149" s="31" t="s">
        <v>130</v>
      </c>
      <c r="B149" s="26" t="s">
        <v>186</v>
      </c>
      <c r="C149" s="26" t="s">
        <v>32</v>
      </c>
      <c r="D149" s="26" t="s">
        <v>28</v>
      </c>
      <c r="E149" s="26" t="s">
        <v>134</v>
      </c>
      <c r="F149" s="26"/>
      <c r="G149" s="147" t="e">
        <f t="shared" ref="G149:N149" si="38">G150</f>
        <v>#REF!</v>
      </c>
      <c r="H149" s="147">
        <f t="shared" si="38"/>
        <v>0</v>
      </c>
      <c r="I149" s="147">
        <f t="shared" si="38"/>
        <v>0</v>
      </c>
      <c r="J149" s="627">
        <f t="shared" si="38"/>
        <v>0</v>
      </c>
      <c r="K149" s="627">
        <f t="shared" si="38"/>
        <v>0</v>
      </c>
      <c r="L149" s="627">
        <f t="shared" si="38"/>
        <v>0</v>
      </c>
      <c r="M149" s="42">
        <f t="shared" si="38"/>
        <v>44.61</v>
      </c>
      <c r="N149" s="43">
        <f t="shared" si="38"/>
        <v>44.61</v>
      </c>
    </row>
    <row r="150" spans="1:16" ht="30" hidden="1">
      <c r="A150" s="31" t="s">
        <v>135</v>
      </c>
      <c r="B150" s="26" t="s">
        <v>186</v>
      </c>
      <c r="C150" s="26" t="s">
        <v>32</v>
      </c>
      <c r="D150" s="26" t="s">
        <v>28</v>
      </c>
      <c r="E150" s="26" t="s">
        <v>134</v>
      </c>
      <c r="F150" s="26" t="s">
        <v>133</v>
      </c>
      <c r="G150" s="589" t="e">
        <f>H150-#REF!</f>
        <v>#REF!</v>
      </c>
      <c r="H150" s="589"/>
      <c r="I150" s="589"/>
      <c r="J150" s="627"/>
      <c r="K150" s="627"/>
      <c r="L150" s="627">
        <f>J150+K150</f>
        <v>0</v>
      </c>
      <c r="M150" s="29">
        <f>44.61</f>
        <v>44.61</v>
      </c>
      <c r="N150" s="30">
        <f>L150+M150</f>
        <v>44.61</v>
      </c>
    </row>
    <row r="151" spans="1:16" ht="30">
      <c r="A151" s="31" t="s">
        <v>1193</v>
      </c>
      <c r="B151" s="26" t="s">
        <v>186</v>
      </c>
      <c r="C151" s="26" t="s">
        <v>32</v>
      </c>
      <c r="D151" s="26" t="s">
        <v>28</v>
      </c>
      <c r="E151" s="26" t="s">
        <v>1191</v>
      </c>
      <c r="F151" s="26"/>
      <c r="G151" s="589"/>
      <c r="H151" s="589"/>
      <c r="I151" s="589"/>
      <c r="J151" s="627">
        <f>J152</f>
        <v>0</v>
      </c>
      <c r="K151" s="627">
        <f t="shared" ref="K151:L151" si="39">K152</f>
        <v>242.33099999999999</v>
      </c>
      <c r="L151" s="627">
        <f t="shared" si="39"/>
        <v>242.33099999999999</v>
      </c>
      <c r="M151" s="29"/>
      <c r="N151" s="30"/>
    </row>
    <row r="152" spans="1:16" ht="30">
      <c r="A152" s="31" t="s">
        <v>1194</v>
      </c>
      <c r="B152" s="26" t="s">
        <v>186</v>
      </c>
      <c r="C152" s="26" t="s">
        <v>32</v>
      </c>
      <c r="D152" s="26" t="s">
        <v>28</v>
      </c>
      <c r="E152" s="26" t="s">
        <v>1191</v>
      </c>
      <c r="F152" s="26" t="s">
        <v>142</v>
      </c>
      <c r="G152" s="589"/>
      <c r="H152" s="589"/>
      <c r="I152" s="589"/>
      <c r="J152" s="627"/>
      <c r="K152" s="627">
        <v>242.33099999999999</v>
      </c>
      <c r="L152" s="627">
        <f>J152+K152</f>
        <v>242.33099999999999</v>
      </c>
      <c r="M152" s="29"/>
      <c r="N152" s="30"/>
    </row>
    <row r="153" spans="1:16" ht="29.25">
      <c r="A153" s="24" t="s">
        <v>68</v>
      </c>
      <c r="B153" s="25" t="s">
        <v>186</v>
      </c>
      <c r="C153" s="25" t="s">
        <v>32</v>
      </c>
      <c r="D153" s="25" t="s">
        <v>32</v>
      </c>
      <c r="E153" s="25"/>
      <c r="F153" s="25"/>
      <c r="G153" s="568">
        <f t="shared" ref="G153:N154" si="40">G154</f>
        <v>821</v>
      </c>
      <c r="H153" s="568">
        <f t="shared" si="40"/>
        <v>650</v>
      </c>
      <c r="I153" s="568">
        <f t="shared" si="40"/>
        <v>0</v>
      </c>
      <c r="J153" s="488">
        <f t="shared" si="40"/>
        <v>2485.7325000000001</v>
      </c>
      <c r="K153" s="488">
        <f t="shared" si="40"/>
        <v>0</v>
      </c>
      <c r="L153" s="488">
        <f t="shared" si="40"/>
        <v>2485.7325000000001</v>
      </c>
      <c r="M153" s="570">
        <f t="shared" si="40"/>
        <v>670</v>
      </c>
      <c r="N153" s="96">
        <f t="shared" si="40"/>
        <v>2765.5325000000003</v>
      </c>
    </row>
    <row r="154" spans="1:16" ht="45">
      <c r="A154" s="31" t="s">
        <v>228</v>
      </c>
      <c r="B154" s="26" t="s">
        <v>186</v>
      </c>
      <c r="C154" s="26" t="s">
        <v>32</v>
      </c>
      <c r="D154" s="26" t="s">
        <v>32</v>
      </c>
      <c r="E154" s="26" t="s">
        <v>229</v>
      </c>
      <c r="F154" s="26"/>
      <c r="G154" s="147">
        <f t="shared" si="40"/>
        <v>821</v>
      </c>
      <c r="H154" s="147">
        <f t="shared" si="40"/>
        <v>650</v>
      </c>
      <c r="I154" s="147">
        <f t="shared" si="40"/>
        <v>0</v>
      </c>
      <c r="J154" s="627">
        <f t="shared" si="40"/>
        <v>2485.7325000000001</v>
      </c>
      <c r="K154" s="627">
        <f t="shared" si="40"/>
        <v>0</v>
      </c>
      <c r="L154" s="627">
        <f>L155</f>
        <v>2485.7325000000001</v>
      </c>
      <c r="M154" s="42">
        <f t="shared" si="40"/>
        <v>670</v>
      </c>
      <c r="N154" s="43">
        <f t="shared" si="40"/>
        <v>2765.5325000000003</v>
      </c>
    </row>
    <row r="155" spans="1:16">
      <c r="A155" s="31" t="s">
        <v>230</v>
      </c>
      <c r="B155" s="26" t="s">
        <v>186</v>
      </c>
      <c r="C155" s="26" t="s">
        <v>32</v>
      </c>
      <c r="D155" s="26" t="s">
        <v>32</v>
      </c>
      <c r="E155" s="26" t="s">
        <v>231</v>
      </c>
      <c r="F155" s="26"/>
      <c r="G155" s="147">
        <f t="shared" ref="G155:M155" si="41">G156+G157</f>
        <v>821</v>
      </c>
      <c r="H155" s="147">
        <f t="shared" si="41"/>
        <v>650</v>
      </c>
      <c r="I155" s="147">
        <f t="shared" si="41"/>
        <v>0</v>
      </c>
      <c r="J155" s="627">
        <f>J156+J157+J158+J159</f>
        <v>2485.7325000000001</v>
      </c>
      <c r="K155" s="627">
        <f>K156+K157+K158+K159</f>
        <v>0</v>
      </c>
      <c r="L155" s="627">
        <f>L156+L157+L158+L159</f>
        <v>2485.7325000000001</v>
      </c>
      <c r="M155" s="42">
        <f t="shared" si="41"/>
        <v>670</v>
      </c>
      <c r="N155" s="43">
        <f>N156+N157</f>
        <v>2765.5325000000003</v>
      </c>
    </row>
    <row r="156" spans="1:16" ht="30">
      <c r="A156" s="31" t="s">
        <v>152</v>
      </c>
      <c r="B156" s="26" t="s">
        <v>186</v>
      </c>
      <c r="C156" s="26" t="s">
        <v>32</v>
      </c>
      <c r="D156" s="26" t="s">
        <v>32</v>
      </c>
      <c r="E156" s="26" t="s">
        <v>231</v>
      </c>
      <c r="F156" s="26" t="s">
        <v>142</v>
      </c>
      <c r="G156" s="147">
        <v>321</v>
      </c>
      <c r="H156" s="589">
        <v>650</v>
      </c>
      <c r="I156" s="147"/>
      <c r="J156" s="627">
        <v>396.53250000000003</v>
      </c>
      <c r="K156" s="628"/>
      <c r="L156" s="627">
        <f>J156+K156</f>
        <v>396.53250000000003</v>
      </c>
      <c r="M156" s="42"/>
      <c r="N156" s="30">
        <f>L156+M156</f>
        <v>396.53250000000003</v>
      </c>
      <c r="O156" s="101">
        <v>200</v>
      </c>
      <c r="P156" s="15">
        <f>L156-O156</f>
        <v>196.53250000000003</v>
      </c>
    </row>
    <row r="157" spans="1:16">
      <c r="A157" s="31" t="s">
        <v>230</v>
      </c>
      <c r="B157" s="26" t="s">
        <v>186</v>
      </c>
      <c r="C157" s="26" t="s">
        <v>32</v>
      </c>
      <c r="D157" s="26" t="s">
        <v>32</v>
      </c>
      <c r="E157" s="26" t="s">
        <v>233</v>
      </c>
      <c r="F157" s="26" t="s">
        <v>142</v>
      </c>
      <c r="G157" s="147">
        <v>500</v>
      </c>
      <c r="H157" s="589"/>
      <c r="I157" s="147"/>
      <c r="J157" s="627">
        <v>1699</v>
      </c>
      <c r="K157" s="627"/>
      <c r="L157" s="627">
        <f>J157+K157</f>
        <v>1699</v>
      </c>
      <c r="M157" s="42">
        <v>670</v>
      </c>
      <c r="N157" s="30">
        <f>L157+M157</f>
        <v>2369</v>
      </c>
      <c r="O157" s="11">
        <v>190.2</v>
      </c>
    </row>
    <row r="158" spans="1:16" ht="30">
      <c r="A158" s="31" t="s">
        <v>152</v>
      </c>
      <c r="B158" s="26" t="s">
        <v>186</v>
      </c>
      <c r="C158" s="26" t="s">
        <v>32</v>
      </c>
      <c r="D158" s="26" t="s">
        <v>32</v>
      </c>
      <c r="E158" s="26" t="s">
        <v>1027</v>
      </c>
      <c r="F158" s="26" t="s">
        <v>142</v>
      </c>
      <c r="G158" s="147"/>
      <c r="H158" s="589"/>
      <c r="I158" s="147"/>
      <c r="J158" s="627">
        <v>200</v>
      </c>
      <c r="K158" s="627"/>
      <c r="L158" s="627">
        <f>J158+K158</f>
        <v>200</v>
      </c>
      <c r="M158" s="270"/>
      <c r="N158" s="61"/>
    </row>
    <row r="159" spans="1:16" ht="60">
      <c r="A159" s="31" t="s">
        <v>232</v>
      </c>
      <c r="B159" s="26" t="s">
        <v>186</v>
      </c>
      <c r="C159" s="26" t="s">
        <v>32</v>
      </c>
      <c r="D159" s="26" t="s">
        <v>32</v>
      </c>
      <c r="E159" s="26" t="s">
        <v>1026</v>
      </c>
      <c r="F159" s="26" t="s">
        <v>142</v>
      </c>
      <c r="G159" s="147"/>
      <c r="H159" s="589"/>
      <c r="I159" s="147"/>
      <c r="J159" s="627">
        <v>190.2</v>
      </c>
      <c r="K159" s="627"/>
      <c r="L159" s="627">
        <f>J159+K159</f>
        <v>190.2</v>
      </c>
      <c r="M159" s="270"/>
      <c r="N159" s="61"/>
    </row>
    <row r="160" spans="1:16" ht="26.25" customHeight="1">
      <c r="A160" s="24" t="s">
        <v>69</v>
      </c>
      <c r="B160" s="25" t="s">
        <v>186</v>
      </c>
      <c r="C160" s="25" t="s">
        <v>32</v>
      </c>
      <c r="D160" s="25" t="s">
        <v>47</v>
      </c>
      <c r="E160" s="25"/>
      <c r="F160" s="25"/>
      <c r="G160" s="568">
        <f>G161+G167+G170+G172</f>
        <v>878.1</v>
      </c>
      <c r="H160" s="568">
        <f>H161+H167+H170+H172</f>
        <v>6514.65</v>
      </c>
      <c r="I160" s="568">
        <f>I161+I167+I170+I172</f>
        <v>0</v>
      </c>
      <c r="J160" s="488">
        <f>J161+J167+J170+J172+J165</f>
        <v>7213.5209800000002</v>
      </c>
      <c r="K160" s="488">
        <f>K161+K167+K170+K172+K165</f>
        <v>-181.71899999999999</v>
      </c>
      <c r="L160" s="488">
        <f>L161+L167+L170+L172+L165</f>
        <v>7031.8019800000002</v>
      </c>
      <c r="M160" s="344">
        <f>M161+M167+M170+M172+M165</f>
        <v>-2135.3040000000001</v>
      </c>
      <c r="N160" s="54">
        <f>N161+N167+N170+N172+N165</f>
        <v>4174.2430000000004</v>
      </c>
    </row>
    <row r="161" spans="1:16" ht="75">
      <c r="A161" s="31" t="s">
        <v>190</v>
      </c>
      <c r="B161" s="26" t="s">
        <v>186</v>
      </c>
      <c r="C161" s="26" t="s">
        <v>32</v>
      </c>
      <c r="D161" s="26" t="s">
        <v>47</v>
      </c>
      <c r="E161" s="26" t="s">
        <v>191</v>
      </c>
      <c r="F161" s="26"/>
      <c r="G161" s="147">
        <f t="shared" ref="G161:N161" si="42">G162</f>
        <v>598.1</v>
      </c>
      <c r="H161" s="147">
        <f t="shared" si="42"/>
        <v>1303.6500000000001</v>
      </c>
      <c r="I161" s="147">
        <f t="shared" si="42"/>
        <v>0</v>
      </c>
      <c r="J161" s="627">
        <f t="shared" si="42"/>
        <v>1108.9469999999999</v>
      </c>
      <c r="K161" s="627">
        <f t="shared" si="42"/>
        <v>0</v>
      </c>
      <c r="L161" s="627">
        <f t="shared" si="42"/>
        <v>1108.9469999999999</v>
      </c>
      <c r="M161" s="28">
        <f t="shared" si="42"/>
        <v>-119.89</v>
      </c>
      <c r="N161" s="43">
        <f t="shared" si="42"/>
        <v>989.0569999999999</v>
      </c>
    </row>
    <row r="162" spans="1:16">
      <c r="A162" s="31" t="s">
        <v>192</v>
      </c>
      <c r="B162" s="26" t="s">
        <v>186</v>
      </c>
      <c r="C162" s="26" t="s">
        <v>32</v>
      </c>
      <c r="D162" s="26" t="s">
        <v>47</v>
      </c>
      <c r="E162" s="26" t="s">
        <v>193</v>
      </c>
      <c r="F162" s="26"/>
      <c r="G162" s="147">
        <f t="shared" ref="G162:M162" si="43">G163+G164</f>
        <v>598.1</v>
      </c>
      <c r="H162" s="592">
        <f t="shared" si="43"/>
        <v>1303.6500000000001</v>
      </c>
      <c r="I162" s="592">
        <f t="shared" si="43"/>
        <v>0</v>
      </c>
      <c r="J162" s="627">
        <f t="shared" si="43"/>
        <v>1108.9469999999999</v>
      </c>
      <c r="K162" s="627">
        <f t="shared" si="43"/>
        <v>0</v>
      </c>
      <c r="L162" s="627">
        <f t="shared" si="43"/>
        <v>1108.9469999999999</v>
      </c>
      <c r="M162" s="28">
        <f t="shared" si="43"/>
        <v>-119.89</v>
      </c>
      <c r="N162" s="55">
        <f>N163+N164</f>
        <v>989.0569999999999</v>
      </c>
    </row>
    <row r="163" spans="1:16" ht="30" hidden="1">
      <c r="A163" s="31" t="s">
        <v>152</v>
      </c>
      <c r="B163" s="26" t="s">
        <v>186</v>
      </c>
      <c r="C163" s="26" t="s">
        <v>32</v>
      </c>
      <c r="D163" s="26" t="s">
        <v>47</v>
      </c>
      <c r="E163" s="26" t="s">
        <v>193</v>
      </c>
      <c r="F163" s="25" t="s">
        <v>234</v>
      </c>
      <c r="G163" s="147"/>
      <c r="H163" s="592">
        <v>1303.6500000000001</v>
      </c>
      <c r="I163" s="592"/>
      <c r="J163" s="627"/>
      <c r="K163" s="627"/>
      <c r="L163" s="627">
        <f>J163+K163</f>
        <v>0</v>
      </c>
      <c r="M163" s="28">
        <f>-119.89</f>
        <v>-119.89</v>
      </c>
      <c r="N163" s="55">
        <f>L163+M163</f>
        <v>-119.89</v>
      </c>
    </row>
    <row r="164" spans="1:16" ht="30">
      <c r="A164" s="31" t="s">
        <v>135</v>
      </c>
      <c r="B164" s="26" t="s">
        <v>186</v>
      </c>
      <c r="C164" s="26" t="s">
        <v>32</v>
      </c>
      <c r="D164" s="26" t="s">
        <v>47</v>
      </c>
      <c r="E164" s="26" t="s">
        <v>193</v>
      </c>
      <c r="F164" s="26" t="s">
        <v>133</v>
      </c>
      <c r="G164" s="147">
        <f>519.1+79</f>
        <v>598.1</v>
      </c>
      <c r="H164" s="589"/>
      <c r="I164" s="147"/>
      <c r="J164" s="627">
        <v>1108.9469999999999</v>
      </c>
      <c r="K164" s="627"/>
      <c r="L164" s="627">
        <f>J164+K164</f>
        <v>1108.9469999999999</v>
      </c>
      <c r="M164" s="42"/>
      <c r="N164" s="30">
        <f>L164+M164</f>
        <v>1108.9469999999999</v>
      </c>
      <c r="O164" s="44">
        <v>1049.99</v>
      </c>
      <c r="P164" s="45">
        <f>L164-O164</f>
        <v>58.95699999999988</v>
      </c>
    </row>
    <row r="165" spans="1:16" ht="75">
      <c r="A165" s="93" t="s">
        <v>235</v>
      </c>
      <c r="B165" s="26" t="s">
        <v>186</v>
      </c>
      <c r="C165" s="26" t="s">
        <v>32</v>
      </c>
      <c r="D165" s="26" t="s">
        <v>47</v>
      </c>
      <c r="E165" s="26" t="s">
        <v>236</v>
      </c>
      <c r="F165" s="26"/>
      <c r="G165" s="147"/>
      <c r="H165" s="589"/>
      <c r="I165" s="147"/>
      <c r="J165" s="627">
        <f>J166</f>
        <v>722.25498000000005</v>
      </c>
      <c r="K165" s="627">
        <f>K166</f>
        <v>0</v>
      </c>
      <c r="L165" s="627">
        <f>L166</f>
        <v>722.25498000000005</v>
      </c>
      <c r="M165" s="42"/>
      <c r="N165" s="30"/>
    </row>
    <row r="166" spans="1:16" ht="30">
      <c r="A166" s="31" t="s">
        <v>135</v>
      </c>
      <c r="B166" s="26" t="s">
        <v>186</v>
      </c>
      <c r="C166" s="26" t="s">
        <v>32</v>
      </c>
      <c r="D166" s="26" t="s">
        <v>47</v>
      </c>
      <c r="E166" s="26" t="s">
        <v>236</v>
      </c>
      <c r="F166" s="26" t="s">
        <v>133</v>
      </c>
      <c r="G166" s="147"/>
      <c r="H166" s="589"/>
      <c r="I166" s="147"/>
      <c r="J166" s="627">
        <v>722.25498000000005</v>
      </c>
      <c r="K166" s="628"/>
      <c r="L166" s="627">
        <f>J166+K166</f>
        <v>722.25498000000005</v>
      </c>
      <c r="M166" s="42"/>
      <c r="N166" s="30"/>
      <c r="O166" s="11">
        <v>515</v>
      </c>
      <c r="P166" s="15">
        <f>K166</f>
        <v>0</v>
      </c>
    </row>
    <row r="167" spans="1:16" ht="105">
      <c r="A167" s="31" t="s">
        <v>237</v>
      </c>
      <c r="B167" s="26" t="s">
        <v>186</v>
      </c>
      <c r="C167" s="26" t="s">
        <v>32</v>
      </c>
      <c r="D167" s="26" t="s">
        <v>47</v>
      </c>
      <c r="E167" s="26" t="s">
        <v>175</v>
      </c>
      <c r="F167" s="26"/>
      <c r="G167" s="147">
        <f t="shared" ref="G167:N168" si="44">G168</f>
        <v>80</v>
      </c>
      <c r="H167" s="147">
        <f t="shared" si="44"/>
        <v>5211</v>
      </c>
      <c r="I167" s="147">
        <f t="shared" si="44"/>
        <v>0</v>
      </c>
      <c r="J167" s="627">
        <f t="shared" si="44"/>
        <v>5132.3190000000004</v>
      </c>
      <c r="K167" s="627">
        <f t="shared" si="44"/>
        <v>66.480999999999995</v>
      </c>
      <c r="L167" s="627">
        <f t="shared" si="44"/>
        <v>5198.8</v>
      </c>
      <c r="M167" s="42">
        <f t="shared" si="44"/>
        <v>-2015.414</v>
      </c>
      <c r="N167" s="43">
        <f t="shared" si="44"/>
        <v>3183.3860000000004</v>
      </c>
    </row>
    <row r="168" spans="1:16" ht="30">
      <c r="A168" s="31" t="s">
        <v>145</v>
      </c>
      <c r="B168" s="26" t="s">
        <v>186</v>
      </c>
      <c r="C168" s="26" t="s">
        <v>32</v>
      </c>
      <c r="D168" s="26" t="s">
        <v>47</v>
      </c>
      <c r="E168" s="26" t="s">
        <v>176</v>
      </c>
      <c r="F168" s="26"/>
      <c r="G168" s="147">
        <f t="shared" si="44"/>
        <v>80</v>
      </c>
      <c r="H168" s="147">
        <f t="shared" si="44"/>
        <v>5211</v>
      </c>
      <c r="I168" s="147">
        <f t="shared" si="44"/>
        <v>0</v>
      </c>
      <c r="J168" s="627">
        <f t="shared" si="44"/>
        <v>5132.3190000000004</v>
      </c>
      <c r="K168" s="627">
        <f t="shared" si="44"/>
        <v>66.480999999999995</v>
      </c>
      <c r="L168" s="627">
        <f t="shared" si="44"/>
        <v>5198.8</v>
      </c>
      <c r="M168" s="42">
        <f t="shared" si="44"/>
        <v>-2015.414</v>
      </c>
      <c r="N168" s="43">
        <f t="shared" si="44"/>
        <v>3183.3860000000004</v>
      </c>
    </row>
    <row r="169" spans="1:16" ht="30">
      <c r="A169" s="31" t="s">
        <v>197</v>
      </c>
      <c r="B169" s="26" t="s">
        <v>186</v>
      </c>
      <c r="C169" s="26" t="s">
        <v>32</v>
      </c>
      <c r="D169" s="26" t="s">
        <v>47</v>
      </c>
      <c r="E169" s="26" t="s">
        <v>176</v>
      </c>
      <c r="F169" s="26" t="s">
        <v>142</v>
      </c>
      <c r="G169" s="147">
        <f>50+30</f>
        <v>80</v>
      </c>
      <c r="H169" s="589">
        <v>5211</v>
      </c>
      <c r="I169" s="147"/>
      <c r="J169" s="627">
        <v>5132.3190000000004</v>
      </c>
      <c r="K169" s="627">
        <f>49.539+16.942</f>
        <v>66.480999999999995</v>
      </c>
      <c r="L169" s="627">
        <f>J169+K169</f>
        <v>5198.8</v>
      </c>
      <c r="M169" s="42">
        <v>-2015.414</v>
      </c>
      <c r="N169" s="30">
        <f>L169+M169</f>
        <v>3183.3860000000004</v>
      </c>
      <c r="O169" s="44">
        <v>4988.6189999999997</v>
      </c>
      <c r="P169" s="14">
        <f>L169-O169</f>
        <v>210.18100000000049</v>
      </c>
    </row>
    <row r="170" spans="1:16" ht="43.5" hidden="1" customHeight="1">
      <c r="A170" s="88" t="s">
        <v>225</v>
      </c>
      <c r="B170" s="47" t="s">
        <v>186</v>
      </c>
      <c r="C170" s="47" t="s">
        <v>32</v>
      </c>
      <c r="D170" s="47" t="s">
        <v>47</v>
      </c>
      <c r="E170" s="47" t="s">
        <v>222</v>
      </c>
      <c r="F170" s="47"/>
      <c r="G170" s="590">
        <f t="shared" ref="G170:N170" si="45">G171</f>
        <v>100</v>
      </c>
      <c r="H170" s="590">
        <f t="shared" si="45"/>
        <v>0</v>
      </c>
      <c r="I170" s="590">
        <f t="shared" si="45"/>
        <v>0</v>
      </c>
      <c r="J170" s="628">
        <f t="shared" si="45"/>
        <v>0</v>
      </c>
      <c r="K170" s="628">
        <f t="shared" si="45"/>
        <v>0</v>
      </c>
      <c r="L170" s="628">
        <f t="shared" si="45"/>
        <v>0</v>
      </c>
      <c r="M170" s="42">
        <f t="shared" si="45"/>
        <v>0</v>
      </c>
      <c r="N170" s="43">
        <f t="shared" si="45"/>
        <v>0</v>
      </c>
    </row>
    <row r="171" spans="1:16" ht="23.25" hidden="1" customHeight="1">
      <c r="A171" s="88" t="s">
        <v>223</v>
      </c>
      <c r="B171" s="47" t="s">
        <v>186</v>
      </c>
      <c r="C171" s="47" t="s">
        <v>32</v>
      </c>
      <c r="D171" s="47" t="s">
        <v>47</v>
      </c>
      <c r="E171" s="47" t="s">
        <v>222</v>
      </c>
      <c r="F171" s="47" t="s">
        <v>224</v>
      </c>
      <c r="G171" s="590">
        <v>100</v>
      </c>
      <c r="H171" s="591"/>
      <c r="I171" s="590"/>
      <c r="J171" s="628"/>
      <c r="K171" s="628"/>
      <c r="L171" s="628">
        <f>J171+K171</f>
        <v>0</v>
      </c>
      <c r="M171" s="42"/>
      <c r="N171" s="30">
        <f>L171+M171</f>
        <v>0</v>
      </c>
    </row>
    <row r="172" spans="1:16" ht="60">
      <c r="A172" s="31" t="s">
        <v>238</v>
      </c>
      <c r="B172" s="26" t="s">
        <v>186</v>
      </c>
      <c r="C172" s="26" t="s">
        <v>32</v>
      </c>
      <c r="D172" s="26" t="s">
        <v>47</v>
      </c>
      <c r="E172" s="26" t="s">
        <v>239</v>
      </c>
      <c r="F172" s="26"/>
      <c r="G172" s="147">
        <f t="shared" ref="G172:N172" si="46">G173</f>
        <v>100</v>
      </c>
      <c r="H172" s="147">
        <f t="shared" si="46"/>
        <v>0</v>
      </c>
      <c r="I172" s="147">
        <f t="shared" si="46"/>
        <v>0</v>
      </c>
      <c r="J172" s="627">
        <f t="shared" si="46"/>
        <v>250</v>
      </c>
      <c r="K172" s="627">
        <f t="shared" si="46"/>
        <v>-248.2</v>
      </c>
      <c r="L172" s="627">
        <f t="shared" si="46"/>
        <v>1.8000000000000114</v>
      </c>
      <c r="M172" s="42">
        <f t="shared" si="46"/>
        <v>0</v>
      </c>
      <c r="N172" s="43">
        <f t="shared" si="46"/>
        <v>1.8000000000000114</v>
      </c>
    </row>
    <row r="173" spans="1:16" ht="30">
      <c r="A173" s="31" t="s">
        <v>135</v>
      </c>
      <c r="B173" s="26" t="s">
        <v>186</v>
      </c>
      <c r="C173" s="26" t="s">
        <v>32</v>
      </c>
      <c r="D173" s="26" t="s">
        <v>47</v>
      </c>
      <c r="E173" s="26" t="s">
        <v>239</v>
      </c>
      <c r="F173" s="26" t="s">
        <v>133</v>
      </c>
      <c r="G173" s="147">
        <v>100</v>
      </c>
      <c r="H173" s="589"/>
      <c r="I173" s="147"/>
      <c r="J173" s="627">
        <v>250</v>
      </c>
      <c r="K173" s="627">
        <f>-248.2</f>
        <v>-248.2</v>
      </c>
      <c r="L173" s="627">
        <f>J173+K173</f>
        <v>1.8000000000000114</v>
      </c>
      <c r="M173" s="42"/>
      <c r="N173" s="30">
        <f>L173+M173</f>
        <v>1.8000000000000114</v>
      </c>
      <c r="O173" s="44"/>
    </row>
    <row r="174" spans="1:16">
      <c r="A174" s="33" t="s">
        <v>86</v>
      </c>
      <c r="B174" s="34" t="s">
        <v>186</v>
      </c>
      <c r="C174" s="34" t="s">
        <v>85</v>
      </c>
      <c r="D174" s="34"/>
      <c r="E174" s="34"/>
      <c r="F174" s="34"/>
      <c r="G174" s="585">
        <f t="shared" ref="G174:M174" si="47">G175+G179</f>
        <v>5942.8729699999994</v>
      </c>
      <c r="H174" s="585">
        <f t="shared" si="47"/>
        <v>11149.7</v>
      </c>
      <c r="I174" s="585">
        <f t="shared" si="47"/>
        <v>0</v>
      </c>
      <c r="J174" s="379">
        <f t="shared" si="47"/>
        <v>16193.199999999999</v>
      </c>
      <c r="K174" s="379">
        <f>K175+K179</f>
        <v>6006.5</v>
      </c>
      <c r="L174" s="379">
        <f t="shared" si="47"/>
        <v>22199.699999999997</v>
      </c>
      <c r="M174" s="40">
        <f t="shared" si="47"/>
        <v>0</v>
      </c>
      <c r="N174" s="41">
        <f>N175+N179</f>
        <v>9621.2999999999993</v>
      </c>
    </row>
    <row r="175" spans="1:16" ht="29.25">
      <c r="A175" s="24" t="s">
        <v>240</v>
      </c>
      <c r="B175" s="25" t="s">
        <v>186</v>
      </c>
      <c r="C175" s="25" t="s">
        <v>85</v>
      </c>
      <c r="D175" s="25" t="s">
        <v>24</v>
      </c>
      <c r="E175" s="25"/>
      <c r="F175" s="25"/>
      <c r="G175" s="568">
        <f t="shared" ref="G175:N175" si="48">G176</f>
        <v>681.32999999999993</v>
      </c>
      <c r="H175" s="568">
        <f t="shared" si="48"/>
        <v>2954.9</v>
      </c>
      <c r="I175" s="568">
        <f t="shared" si="48"/>
        <v>0</v>
      </c>
      <c r="J175" s="488">
        <f t="shared" si="48"/>
        <v>0</v>
      </c>
      <c r="K175" s="488">
        <f t="shared" si="48"/>
        <v>0</v>
      </c>
      <c r="L175" s="488">
        <f t="shared" si="48"/>
        <v>0</v>
      </c>
      <c r="M175" s="570">
        <f t="shared" si="48"/>
        <v>0</v>
      </c>
      <c r="N175" s="96">
        <f t="shared" si="48"/>
        <v>0</v>
      </c>
    </row>
    <row r="176" spans="1:16" ht="90">
      <c r="A176" s="31" t="s">
        <v>241</v>
      </c>
      <c r="B176" s="26" t="s">
        <v>186</v>
      </c>
      <c r="C176" s="26" t="s">
        <v>85</v>
      </c>
      <c r="D176" s="26" t="s">
        <v>24</v>
      </c>
      <c r="E176" s="26" t="s">
        <v>242</v>
      </c>
      <c r="F176" s="26"/>
      <c r="G176" s="147">
        <f t="shared" ref="G176:M176" si="49">G177+G178</f>
        <v>681.32999999999993</v>
      </c>
      <c r="H176" s="147">
        <f t="shared" si="49"/>
        <v>2954.9</v>
      </c>
      <c r="I176" s="147">
        <f t="shared" si="49"/>
        <v>0</v>
      </c>
      <c r="J176" s="627">
        <f t="shared" si="49"/>
        <v>0</v>
      </c>
      <c r="K176" s="627">
        <f t="shared" si="49"/>
        <v>0</v>
      </c>
      <c r="L176" s="627">
        <f t="shared" si="49"/>
        <v>0</v>
      </c>
      <c r="M176" s="42">
        <f t="shared" si="49"/>
        <v>0</v>
      </c>
      <c r="N176" s="43">
        <f>N177+N178</f>
        <v>0</v>
      </c>
    </row>
    <row r="177" spans="1:16">
      <c r="A177" s="31" t="s">
        <v>243</v>
      </c>
      <c r="B177" s="26" t="s">
        <v>186</v>
      </c>
      <c r="C177" s="26" t="s">
        <v>85</v>
      </c>
      <c r="D177" s="26" t="s">
        <v>24</v>
      </c>
      <c r="E177" s="26" t="s">
        <v>242</v>
      </c>
      <c r="F177" s="26" t="s">
        <v>244</v>
      </c>
      <c r="G177" s="147">
        <f>681.33-2819.6</f>
        <v>-2138.27</v>
      </c>
      <c r="H177" s="589">
        <v>2954.9</v>
      </c>
      <c r="I177" s="147"/>
      <c r="J177" s="627"/>
      <c r="K177" s="627"/>
      <c r="L177" s="627">
        <f>J177+K177</f>
        <v>0</v>
      </c>
      <c r="M177" s="42"/>
      <c r="N177" s="30">
        <f>L177+M177</f>
        <v>0</v>
      </c>
    </row>
    <row r="178" spans="1:16">
      <c r="A178" s="31" t="s">
        <v>243</v>
      </c>
      <c r="B178" s="26" t="s">
        <v>186</v>
      </c>
      <c r="C178" s="26" t="s">
        <v>85</v>
      </c>
      <c r="D178" s="26" t="s">
        <v>24</v>
      </c>
      <c r="E178" s="26" t="s">
        <v>245</v>
      </c>
      <c r="F178" s="26" t="s">
        <v>244</v>
      </c>
      <c r="G178" s="147">
        <v>2819.6</v>
      </c>
      <c r="H178" s="589"/>
      <c r="I178" s="147"/>
      <c r="J178" s="627">
        <v>0</v>
      </c>
      <c r="K178" s="627"/>
      <c r="L178" s="627">
        <f>J178+K178</f>
        <v>0</v>
      </c>
      <c r="M178" s="42"/>
      <c r="N178" s="30">
        <f>L178+M178</f>
        <v>0</v>
      </c>
      <c r="O178" s="11">
        <v>855</v>
      </c>
      <c r="P178" s="15">
        <f>K178</f>
        <v>0</v>
      </c>
    </row>
    <row r="179" spans="1:16">
      <c r="A179" s="24" t="s">
        <v>246</v>
      </c>
      <c r="B179" s="25" t="s">
        <v>186</v>
      </c>
      <c r="C179" s="25" t="s">
        <v>85</v>
      </c>
      <c r="D179" s="25" t="s">
        <v>26</v>
      </c>
      <c r="E179" s="25"/>
      <c r="F179" s="25"/>
      <c r="G179" s="206">
        <f t="shared" ref="G179:M179" si="50">G180+G189+G184+G182</f>
        <v>5261.5429699999995</v>
      </c>
      <c r="H179" s="206">
        <f t="shared" si="50"/>
        <v>8194.8000000000011</v>
      </c>
      <c r="I179" s="206">
        <f t="shared" si="50"/>
        <v>0</v>
      </c>
      <c r="J179" s="488">
        <f>J180+J189+J184+J182+J186</f>
        <v>16193.199999999999</v>
      </c>
      <c r="K179" s="488">
        <f>K180+K189+K184+K182+K186</f>
        <v>6006.5</v>
      </c>
      <c r="L179" s="488">
        <f>L180+L189+L184+L182+L186</f>
        <v>22199.699999999997</v>
      </c>
      <c r="M179" s="60">
        <f t="shared" si="50"/>
        <v>0</v>
      </c>
      <c r="N179" s="98">
        <f>N180+N189+N184+N182</f>
        <v>9621.2999999999993</v>
      </c>
    </row>
    <row r="180" spans="1:16" ht="60" hidden="1">
      <c r="A180" s="31" t="s">
        <v>247</v>
      </c>
      <c r="B180" s="26" t="s">
        <v>186</v>
      </c>
      <c r="C180" s="26" t="s">
        <v>85</v>
      </c>
      <c r="D180" s="26" t="s">
        <v>26</v>
      </c>
      <c r="E180" s="26" t="s">
        <v>248</v>
      </c>
      <c r="F180" s="26"/>
      <c r="G180" s="147">
        <f t="shared" ref="G180:N180" si="51">G181</f>
        <v>0</v>
      </c>
      <c r="H180" s="589">
        <f t="shared" si="51"/>
        <v>545.6</v>
      </c>
      <c r="I180" s="147">
        <f t="shared" si="51"/>
        <v>0</v>
      </c>
      <c r="J180" s="627">
        <f t="shared" si="51"/>
        <v>0</v>
      </c>
      <c r="K180" s="627">
        <f t="shared" si="51"/>
        <v>0</v>
      </c>
      <c r="L180" s="627">
        <f t="shared" si="51"/>
        <v>0</v>
      </c>
      <c r="M180" s="42">
        <f t="shared" si="51"/>
        <v>0</v>
      </c>
      <c r="N180" s="30">
        <f t="shared" si="51"/>
        <v>0</v>
      </c>
    </row>
    <row r="181" spans="1:16" hidden="1">
      <c r="A181" s="31" t="s">
        <v>243</v>
      </c>
      <c r="B181" s="26" t="s">
        <v>186</v>
      </c>
      <c r="C181" s="26" t="s">
        <v>85</v>
      </c>
      <c r="D181" s="26" t="s">
        <v>26</v>
      </c>
      <c r="E181" s="26" t="s">
        <v>248</v>
      </c>
      <c r="F181" s="26" t="s">
        <v>244</v>
      </c>
      <c r="G181" s="147"/>
      <c r="H181" s="589">
        <v>545.6</v>
      </c>
      <c r="I181" s="147"/>
      <c r="J181" s="627"/>
      <c r="K181" s="627"/>
      <c r="L181" s="627">
        <f>J181+K181</f>
        <v>0</v>
      </c>
      <c r="M181" s="42"/>
      <c r="N181" s="30">
        <f>L181+M181</f>
        <v>0</v>
      </c>
    </row>
    <row r="182" spans="1:16" ht="90" hidden="1" customHeight="1">
      <c r="A182" s="93" t="s">
        <v>249</v>
      </c>
      <c r="B182" s="26" t="s">
        <v>186</v>
      </c>
      <c r="C182" s="26" t="s">
        <v>85</v>
      </c>
      <c r="D182" s="26" t="s">
        <v>26</v>
      </c>
      <c r="E182" s="26" t="s">
        <v>250</v>
      </c>
      <c r="F182" s="26"/>
      <c r="G182" s="147">
        <f t="shared" ref="G182:N182" si="52">G183</f>
        <v>1114.61041</v>
      </c>
      <c r="H182" s="592">
        <f t="shared" si="52"/>
        <v>0</v>
      </c>
      <c r="I182" s="147">
        <f t="shared" si="52"/>
        <v>0</v>
      </c>
      <c r="J182" s="627">
        <f t="shared" si="52"/>
        <v>0</v>
      </c>
      <c r="K182" s="627">
        <f t="shared" si="52"/>
        <v>0</v>
      </c>
      <c r="L182" s="627">
        <f t="shared" si="52"/>
        <v>0</v>
      </c>
      <c r="M182" s="42">
        <f t="shared" si="52"/>
        <v>0</v>
      </c>
      <c r="N182" s="55">
        <f t="shared" si="52"/>
        <v>0</v>
      </c>
    </row>
    <row r="183" spans="1:16" ht="15" hidden="1" customHeight="1">
      <c r="A183" s="31" t="s">
        <v>243</v>
      </c>
      <c r="B183" s="26" t="s">
        <v>186</v>
      </c>
      <c r="C183" s="26" t="s">
        <v>85</v>
      </c>
      <c r="D183" s="26" t="s">
        <v>26</v>
      </c>
      <c r="E183" s="26" t="s">
        <v>250</v>
      </c>
      <c r="F183" s="26" t="s">
        <v>244</v>
      </c>
      <c r="G183" s="147">
        <f>335.61041+779</f>
        <v>1114.61041</v>
      </c>
      <c r="H183" s="589"/>
      <c r="I183" s="147"/>
      <c r="J183" s="627">
        <f>H183+I183</f>
        <v>0</v>
      </c>
      <c r="K183" s="627">
        <f>816.4-816.4</f>
        <v>0</v>
      </c>
      <c r="L183" s="627">
        <f>J183+K183</f>
        <v>0</v>
      </c>
      <c r="M183" s="42">
        <f>816.4-816.4</f>
        <v>0</v>
      </c>
      <c r="N183" s="30">
        <f>L183+M183</f>
        <v>0</v>
      </c>
    </row>
    <row r="184" spans="1:16" ht="45" hidden="1">
      <c r="A184" s="31" t="s">
        <v>251</v>
      </c>
      <c r="B184" s="26" t="s">
        <v>186</v>
      </c>
      <c r="C184" s="26" t="s">
        <v>85</v>
      </c>
      <c r="D184" s="26" t="s">
        <v>26</v>
      </c>
      <c r="E184" s="26" t="s">
        <v>252</v>
      </c>
      <c r="F184" s="26"/>
      <c r="G184" s="147">
        <f t="shared" ref="G184:N184" si="53">G185</f>
        <v>-779</v>
      </c>
      <c r="H184" s="147">
        <f t="shared" si="53"/>
        <v>816.4</v>
      </c>
      <c r="I184" s="147">
        <f t="shared" si="53"/>
        <v>0</v>
      </c>
      <c r="J184" s="627">
        <f t="shared" si="53"/>
        <v>0</v>
      </c>
      <c r="K184" s="627">
        <f t="shared" si="53"/>
        <v>0</v>
      </c>
      <c r="L184" s="627">
        <f t="shared" si="53"/>
        <v>0</v>
      </c>
      <c r="M184" s="42">
        <f t="shared" si="53"/>
        <v>0</v>
      </c>
      <c r="N184" s="43">
        <f t="shared" si="53"/>
        <v>0</v>
      </c>
    </row>
    <row r="185" spans="1:16" hidden="1">
      <c r="A185" s="31" t="s">
        <v>253</v>
      </c>
      <c r="B185" s="26" t="s">
        <v>186</v>
      </c>
      <c r="C185" s="26" t="s">
        <v>85</v>
      </c>
      <c r="D185" s="26" t="s">
        <v>26</v>
      </c>
      <c r="E185" s="26" t="s">
        <v>252</v>
      </c>
      <c r="F185" s="26" t="s">
        <v>254</v>
      </c>
      <c r="G185" s="147">
        <v>-779</v>
      </c>
      <c r="H185" s="589">
        <v>816.4</v>
      </c>
      <c r="I185" s="147"/>
      <c r="J185" s="627"/>
      <c r="K185" s="627"/>
      <c r="L185" s="627">
        <f>J185+K185</f>
        <v>0</v>
      </c>
      <c r="M185" s="42"/>
      <c r="N185" s="30">
        <f>L185+M185</f>
        <v>0</v>
      </c>
    </row>
    <row r="186" spans="1:16" ht="90">
      <c r="A186" s="31" t="s">
        <v>241</v>
      </c>
      <c r="B186" s="26" t="s">
        <v>186</v>
      </c>
      <c r="C186" s="26" t="s">
        <v>85</v>
      </c>
      <c r="D186" s="26" t="s">
        <v>26</v>
      </c>
      <c r="E186" s="26" t="s">
        <v>242</v>
      </c>
      <c r="F186" s="26"/>
      <c r="G186" s="147"/>
      <c r="H186" s="589"/>
      <c r="I186" s="147"/>
      <c r="J186" s="627">
        <f>J188+J187</f>
        <v>3419</v>
      </c>
      <c r="K186" s="627">
        <f t="shared" ref="K186:L186" si="54">K188+K187</f>
        <v>6006.5</v>
      </c>
      <c r="L186" s="627">
        <f t="shared" si="54"/>
        <v>9425.5</v>
      </c>
      <c r="M186" s="42"/>
      <c r="N186" s="30"/>
    </row>
    <row r="187" spans="1:16">
      <c r="A187" s="31" t="s">
        <v>243</v>
      </c>
      <c r="B187" s="26" t="s">
        <v>186</v>
      </c>
      <c r="C187" s="26" t="s">
        <v>85</v>
      </c>
      <c r="D187" s="26" t="s">
        <v>24</v>
      </c>
      <c r="E187" s="26" t="s">
        <v>242</v>
      </c>
      <c r="F187" s="26" t="s">
        <v>244</v>
      </c>
      <c r="G187" s="147"/>
      <c r="H187" s="589"/>
      <c r="I187" s="147"/>
      <c r="J187" s="627"/>
      <c r="K187" s="627">
        <v>6006.5</v>
      </c>
      <c r="L187" s="627">
        <f>J187+K187</f>
        <v>6006.5</v>
      </c>
      <c r="M187" s="42"/>
      <c r="N187" s="30"/>
    </row>
    <row r="188" spans="1:16">
      <c r="A188" s="31" t="s">
        <v>243</v>
      </c>
      <c r="B188" s="26" t="s">
        <v>186</v>
      </c>
      <c r="C188" s="26" t="s">
        <v>85</v>
      </c>
      <c r="D188" s="26" t="s">
        <v>26</v>
      </c>
      <c r="E188" s="26" t="s">
        <v>245</v>
      </c>
      <c r="F188" s="26" t="s">
        <v>244</v>
      </c>
      <c r="G188" s="147"/>
      <c r="H188" s="589"/>
      <c r="I188" s="147"/>
      <c r="J188" s="627">
        <v>3419</v>
      </c>
      <c r="K188" s="627"/>
      <c r="L188" s="627">
        <f>J188+K188</f>
        <v>3419</v>
      </c>
      <c r="M188" s="42"/>
      <c r="N188" s="30"/>
    </row>
    <row r="189" spans="1:16" ht="30">
      <c r="A189" s="31" t="s">
        <v>170</v>
      </c>
      <c r="B189" s="26" t="s">
        <v>186</v>
      </c>
      <c r="C189" s="26" t="s">
        <v>85</v>
      </c>
      <c r="D189" s="26" t="s">
        <v>26</v>
      </c>
      <c r="E189" s="26" t="s">
        <v>171</v>
      </c>
      <c r="F189" s="26"/>
      <c r="G189" s="592">
        <f t="shared" ref="G189:M189" si="55">G193+G190</f>
        <v>4925.9325599999993</v>
      </c>
      <c r="H189" s="592">
        <f t="shared" si="55"/>
        <v>6832.8</v>
      </c>
      <c r="I189" s="592">
        <f t="shared" si="55"/>
        <v>0</v>
      </c>
      <c r="J189" s="627">
        <f>J193+J190</f>
        <v>12774.199999999999</v>
      </c>
      <c r="K189" s="627">
        <f>K193+K190</f>
        <v>0</v>
      </c>
      <c r="L189" s="627">
        <f t="shared" si="55"/>
        <v>12774.199999999999</v>
      </c>
      <c r="M189" s="28">
        <f t="shared" si="55"/>
        <v>0</v>
      </c>
      <c r="N189" s="55">
        <f>N193+N190</f>
        <v>9621.2999999999993</v>
      </c>
    </row>
    <row r="190" spans="1:16" ht="90" customHeight="1">
      <c r="A190" s="31" t="s">
        <v>255</v>
      </c>
      <c r="B190" s="26" t="s">
        <v>186</v>
      </c>
      <c r="C190" s="26" t="s">
        <v>85</v>
      </c>
      <c r="D190" s="26" t="s">
        <v>26</v>
      </c>
      <c r="E190" s="26" t="s">
        <v>256</v>
      </c>
      <c r="F190" s="26"/>
      <c r="G190" s="147">
        <f t="shared" ref="G190:N190" si="56">G191</f>
        <v>1011.2162</v>
      </c>
      <c r="H190" s="592">
        <f t="shared" si="56"/>
        <v>0</v>
      </c>
      <c r="I190" s="147">
        <f t="shared" si="56"/>
        <v>0</v>
      </c>
      <c r="J190" s="627">
        <f>J191+J192</f>
        <v>1403.9</v>
      </c>
      <c r="K190" s="627">
        <f>K191+K192</f>
        <v>0</v>
      </c>
      <c r="L190" s="627">
        <f>L191+L192</f>
        <v>1403.9</v>
      </c>
      <c r="M190" s="42">
        <f t="shared" si="56"/>
        <v>0</v>
      </c>
      <c r="N190" s="55">
        <f t="shared" si="56"/>
        <v>1403.9</v>
      </c>
    </row>
    <row r="191" spans="1:16" ht="15" customHeight="1">
      <c r="A191" s="31" t="s">
        <v>243</v>
      </c>
      <c r="B191" s="26" t="s">
        <v>186</v>
      </c>
      <c r="C191" s="26" t="s">
        <v>85</v>
      </c>
      <c r="D191" s="26" t="s">
        <v>26</v>
      </c>
      <c r="E191" s="26" t="s">
        <v>256</v>
      </c>
      <c r="F191" s="26" t="s">
        <v>244</v>
      </c>
      <c r="G191" s="147">
        <f>11.2162+1000</f>
        <v>1011.2162</v>
      </c>
      <c r="H191" s="589"/>
      <c r="I191" s="147"/>
      <c r="J191" s="627">
        <v>1403.9</v>
      </c>
      <c r="K191" s="627"/>
      <c r="L191" s="627">
        <f>J191+K191</f>
        <v>1403.9</v>
      </c>
      <c r="M191" s="42"/>
      <c r="N191" s="30">
        <f>L191+M191</f>
        <v>1403.9</v>
      </c>
      <c r="O191" s="11">
        <v>1403.9</v>
      </c>
      <c r="P191" s="15">
        <f>K191</f>
        <v>0</v>
      </c>
    </row>
    <row r="192" spans="1:16" ht="15" hidden="1" customHeight="1">
      <c r="A192" s="31" t="s">
        <v>243</v>
      </c>
      <c r="B192" s="26" t="s">
        <v>186</v>
      </c>
      <c r="C192" s="26" t="s">
        <v>85</v>
      </c>
      <c r="D192" s="26" t="s">
        <v>26</v>
      </c>
      <c r="E192" s="26" t="s">
        <v>257</v>
      </c>
      <c r="F192" s="26" t="s">
        <v>244</v>
      </c>
      <c r="G192" s="147"/>
      <c r="H192" s="589"/>
      <c r="I192" s="147"/>
      <c r="J192" s="627"/>
      <c r="K192" s="627"/>
      <c r="L192" s="627">
        <f>J192+K192</f>
        <v>0</v>
      </c>
      <c r="M192" s="42"/>
      <c r="N192" s="30"/>
      <c r="P192" s="15"/>
    </row>
    <row r="193" spans="1:16" ht="45">
      <c r="A193" s="31" t="s">
        <v>258</v>
      </c>
      <c r="B193" s="26" t="s">
        <v>186</v>
      </c>
      <c r="C193" s="26" t="s">
        <v>85</v>
      </c>
      <c r="D193" s="26" t="s">
        <v>26</v>
      </c>
      <c r="E193" s="26" t="s">
        <v>259</v>
      </c>
      <c r="F193" s="26"/>
      <c r="G193" s="592">
        <f t="shared" ref="G193:M193" si="57">G198+G196+G197</f>
        <v>3914.7163599999994</v>
      </c>
      <c r="H193" s="592">
        <f t="shared" si="57"/>
        <v>6832.8</v>
      </c>
      <c r="I193" s="592">
        <f t="shared" si="57"/>
        <v>0</v>
      </c>
      <c r="J193" s="627">
        <f>J198+J196+J197+J194+J195</f>
        <v>11370.3</v>
      </c>
      <c r="K193" s="627">
        <f>K198+K196+K197+K194+K195</f>
        <v>0</v>
      </c>
      <c r="L193" s="627">
        <f>L198+L196+L197+L194+L195</f>
        <v>11370.3</v>
      </c>
      <c r="M193" s="28">
        <f t="shared" si="57"/>
        <v>0</v>
      </c>
      <c r="N193" s="55">
        <f>N198+N196+N197</f>
        <v>8217.4</v>
      </c>
    </row>
    <row r="194" spans="1:16" ht="45">
      <c r="A194" s="31" t="s">
        <v>260</v>
      </c>
      <c r="B194" s="26" t="s">
        <v>186</v>
      </c>
      <c r="C194" s="26" t="s">
        <v>85</v>
      </c>
      <c r="D194" s="26" t="s">
        <v>26</v>
      </c>
      <c r="E194" s="26" t="s">
        <v>259</v>
      </c>
      <c r="F194" s="26" t="s">
        <v>142</v>
      </c>
      <c r="G194" s="592"/>
      <c r="H194" s="592"/>
      <c r="I194" s="592"/>
      <c r="J194" s="627">
        <v>800</v>
      </c>
      <c r="K194" s="627"/>
      <c r="L194" s="627">
        <f>J194+K194</f>
        <v>800</v>
      </c>
      <c r="M194" s="28"/>
      <c r="N194" s="55"/>
    </row>
    <row r="195" spans="1:16" ht="45">
      <c r="A195" s="102" t="s">
        <v>260</v>
      </c>
      <c r="B195" s="26" t="s">
        <v>186</v>
      </c>
      <c r="C195" s="26" t="s">
        <v>85</v>
      </c>
      <c r="D195" s="26" t="s">
        <v>26</v>
      </c>
      <c r="E195" s="26" t="s">
        <v>259</v>
      </c>
      <c r="F195" s="26" t="s">
        <v>244</v>
      </c>
      <c r="G195" s="592"/>
      <c r="H195" s="592"/>
      <c r="I195" s="592"/>
      <c r="J195" s="627">
        <v>2352.9</v>
      </c>
      <c r="K195" s="627"/>
      <c r="L195" s="627">
        <f>J195+K195</f>
        <v>2352.9</v>
      </c>
      <c r="M195" s="28"/>
      <c r="N195" s="55"/>
    </row>
    <row r="196" spans="1:16" ht="45" customHeight="1">
      <c r="A196" s="31" t="s">
        <v>260</v>
      </c>
      <c r="B196" s="26" t="s">
        <v>186</v>
      </c>
      <c r="C196" s="26" t="s">
        <v>85</v>
      </c>
      <c r="D196" s="26" t="s">
        <v>26</v>
      </c>
      <c r="E196" s="26" t="s">
        <v>261</v>
      </c>
      <c r="F196" s="26" t="s">
        <v>142</v>
      </c>
      <c r="G196" s="147">
        <v>-94.76</v>
      </c>
      <c r="H196" s="589"/>
      <c r="I196" s="147"/>
      <c r="J196" s="627">
        <f>1483.4</f>
        <v>1483.4</v>
      </c>
      <c r="K196" s="627"/>
      <c r="L196" s="627">
        <f>J196+K196</f>
        <v>1483.4</v>
      </c>
      <c r="M196" s="42"/>
      <c r="N196" s="30">
        <f>L196+M196</f>
        <v>1483.4</v>
      </c>
    </row>
    <row r="197" spans="1:16" ht="45.75" thickBot="1">
      <c r="A197" s="102" t="s">
        <v>260</v>
      </c>
      <c r="B197" s="26" t="s">
        <v>186</v>
      </c>
      <c r="C197" s="26" t="s">
        <v>85</v>
      </c>
      <c r="D197" s="26" t="s">
        <v>26</v>
      </c>
      <c r="E197" s="26" t="s">
        <v>261</v>
      </c>
      <c r="F197" s="26" t="s">
        <v>244</v>
      </c>
      <c r="G197" s="147">
        <f>94.76+6519.9</f>
        <v>6614.66</v>
      </c>
      <c r="H197" s="589"/>
      <c r="I197" s="147"/>
      <c r="J197" s="627">
        <v>6734</v>
      </c>
      <c r="K197" s="627"/>
      <c r="L197" s="627">
        <f>J197+K197</f>
        <v>6734</v>
      </c>
      <c r="M197" s="42"/>
      <c r="N197" s="30">
        <f>L197+M197</f>
        <v>6734</v>
      </c>
      <c r="O197" s="15">
        <v>9499.7000000000007</v>
      </c>
      <c r="P197" s="15">
        <f>K197</f>
        <v>0</v>
      </c>
    </row>
    <row r="198" spans="1:16" ht="30.75" hidden="1" thickBot="1">
      <c r="A198" s="31" t="s">
        <v>262</v>
      </c>
      <c r="B198" s="26" t="s">
        <v>186</v>
      </c>
      <c r="C198" s="26" t="s">
        <v>85</v>
      </c>
      <c r="D198" s="26" t="s">
        <v>26</v>
      </c>
      <c r="E198" s="26" t="s">
        <v>263</v>
      </c>
      <c r="F198" s="26"/>
      <c r="G198" s="592">
        <f t="shared" ref="G198:M198" si="58">G199+G201+G202</f>
        <v>-2605.1836400000002</v>
      </c>
      <c r="H198" s="592">
        <f t="shared" si="58"/>
        <v>6832.8</v>
      </c>
      <c r="I198" s="592">
        <f t="shared" si="58"/>
        <v>0</v>
      </c>
      <c r="J198" s="627">
        <f t="shared" si="58"/>
        <v>0</v>
      </c>
      <c r="K198" s="627">
        <f t="shared" si="58"/>
        <v>0</v>
      </c>
      <c r="L198" s="627">
        <f t="shared" si="58"/>
        <v>0</v>
      </c>
      <c r="M198" s="28">
        <f t="shared" si="58"/>
        <v>0</v>
      </c>
      <c r="N198" s="55">
        <f>N199+N201+N202</f>
        <v>0</v>
      </c>
    </row>
    <row r="199" spans="1:16" ht="30.75" hidden="1" thickBot="1">
      <c r="A199" s="31" t="s">
        <v>264</v>
      </c>
      <c r="B199" s="26" t="s">
        <v>186</v>
      </c>
      <c r="C199" s="26" t="s">
        <v>85</v>
      </c>
      <c r="D199" s="26" t="s">
        <v>26</v>
      </c>
      <c r="E199" s="26" t="s">
        <v>265</v>
      </c>
      <c r="F199" s="26"/>
      <c r="G199" s="592">
        <f t="shared" ref="G199:N199" si="59">G200</f>
        <v>-6396.88364</v>
      </c>
      <c r="H199" s="592">
        <f t="shared" si="59"/>
        <v>6643.5</v>
      </c>
      <c r="I199" s="592">
        <f t="shared" si="59"/>
        <v>0</v>
      </c>
      <c r="J199" s="627">
        <f t="shared" si="59"/>
        <v>0</v>
      </c>
      <c r="K199" s="627">
        <f t="shared" si="59"/>
        <v>0</v>
      </c>
      <c r="L199" s="627">
        <f t="shared" si="59"/>
        <v>0</v>
      </c>
      <c r="M199" s="28">
        <f t="shared" si="59"/>
        <v>0</v>
      </c>
      <c r="N199" s="55">
        <f t="shared" si="59"/>
        <v>0</v>
      </c>
    </row>
    <row r="200" spans="1:16" ht="15.75" hidden="1" thickBot="1">
      <c r="A200" s="31" t="s">
        <v>243</v>
      </c>
      <c r="B200" s="26" t="s">
        <v>186</v>
      </c>
      <c r="C200" s="26" t="s">
        <v>85</v>
      </c>
      <c r="D200" s="26" t="s">
        <v>26</v>
      </c>
      <c r="E200" s="26" t="s">
        <v>265</v>
      </c>
      <c r="F200" s="26" t="s">
        <v>244</v>
      </c>
      <c r="G200" s="592">
        <f>9.41636-6406.3</f>
        <v>-6396.88364</v>
      </c>
      <c r="H200" s="589">
        <v>6643.5</v>
      </c>
      <c r="I200" s="592"/>
      <c r="J200" s="627"/>
      <c r="K200" s="627"/>
      <c r="L200" s="627">
        <f>J200+K200</f>
        <v>0</v>
      </c>
      <c r="M200" s="28"/>
      <c r="N200" s="30">
        <f>L200+M200</f>
        <v>0</v>
      </c>
    </row>
    <row r="201" spans="1:16" ht="15.75" hidden="1" thickBot="1">
      <c r="A201" s="31" t="s">
        <v>266</v>
      </c>
      <c r="B201" s="26" t="s">
        <v>186</v>
      </c>
      <c r="C201" s="26" t="s">
        <v>85</v>
      </c>
      <c r="D201" s="26" t="s">
        <v>26</v>
      </c>
      <c r="E201" s="26" t="s">
        <v>267</v>
      </c>
      <c r="F201" s="26" t="s">
        <v>142</v>
      </c>
      <c r="G201" s="147">
        <v>-113.6</v>
      </c>
      <c r="H201" s="589">
        <v>189.3</v>
      </c>
      <c r="I201" s="147"/>
      <c r="J201" s="627"/>
      <c r="K201" s="627"/>
      <c r="L201" s="627">
        <f>J201+K201</f>
        <v>0</v>
      </c>
      <c r="M201" s="42"/>
      <c r="N201" s="30">
        <f>L201+M201</f>
        <v>0</v>
      </c>
    </row>
    <row r="202" spans="1:16" ht="15.75" hidden="1" customHeight="1" thickBot="1">
      <c r="A202" s="31" t="s">
        <v>243</v>
      </c>
      <c r="B202" s="26" t="s">
        <v>186</v>
      </c>
      <c r="C202" s="26" t="s">
        <v>85</v>
      </c>
      <c r="D202" s="26" t="s">
        <v>26</v>
      </c>
      <c r="E202" s="26" t="s">
        <v>268</v>
      </c>
      <c r="F202" s="26" t="s">
        <v>244</v>
      </c>
      <c r="G202" s="147">
        <v>3905.3</v>
      </c>
      <c r="H202" s="589"/>
      <c r="I202" s="147"/>
      <c r="J202" s="627">
        <f>H202+I202</f>
        <v>0</v>
      </c>
      <c r="K202" s="627"/>
      <c r="L202" s="627">
        <f>J202+K202</f>
        <v>0</v>
      </c>
      <c r="M202" s="83"/>
      <c r="N202" s="103">
        <f>L202+M202</f>
        <v>0</v>
      </c>
    </row>
    <row r="203" spans="1:16" ht="30" thickBot="1">
      <c r="A203" s="594" t="s">
        <v>269</v>
      </c>
      <c r="B203" s="209" t="s">
        <v>270</v>
      </c>
      <c r="C203" s="209"/>
      <c r="D203" s="209"/>
      <c r="E203" s="209"/>
      <c r="F203" s="209"/>
      <c r="G203" s="210" t="e">
        <f>G204+G242+G267+G286</f>
        <v>#REF!</v>
      </c>
      <c r="H203" s="598" t="e">
        <f>H204+H242+H267+H286+H256</f>
        <v>#REF!</v>
      </c>
      <c r="I203" s="598" t="e">
        <f>I204+I242+I267+I286+I256</f>
        <v>#REF!</v>
      </c>
      <c r="J203" s="625">
        <f>J204+J242+J267+J286+J256+J236+J303+J308+J230+J282+J274</f>
        <v>69034.374029999992</v>
      </c>
      <c r="K203" s="625">
        <f>K204+K242+K267+K286+K256+K236+K303+K308+K230+K282+K274</f>
        <v>2706.7035499999997</v>
      </c>
      <c r="L203" s="625">
        <f>L204+L242+L267+L286+L256+L236+L303+L308+L230+L282+L274</f>
        <v>71741.077580000012</v>
      </c>
      <c r="M203" s="104" t="e">
        <f>M204+M242+M267+M286+M256+M236</f>
        <v>#REF!</v>
      </c>
      <c r="N203" s="105" t="e">
        <f>N204+N242+N267+N286+N256+N236</f>
        <v>#REF!</v>
      </c>
      <c r="O203" s="20">
        <f>L203-L207-L233-L285-L312-L324-L314</f>
        <v>13308.286580000007</v>
      </c>
    </row>
    <row r="204" spans="1:16">
      <c r="A204" s="33" t="s">
        <v>271</v>
      </c>
      <c r="B204" s="34" t="s">
        <v>270</v>
      </c>
      <c r="C204" s="34" t="s">
        <v>21</v>
      </c>
      <c r="D204" s="26"/>
      <c r="E204" s="26"/>
      <c r="F204" s="26"/>
      <c r="G204" s="585">
        <f t="shared" ref="G204:M204" si="60">G214+G218+G226+G230+G205</f>
        <v>-820.87</v>
      </c>
      <c r="H204" s="585">
        <f t="shared" si="60"/>
        <v>4592.6000000000004</v>
      </c>
      <c r="I204" s="585">
        <f t="shared" si="60"/>
        <v>0</v>
      </c>
      <c r="J204" s="379">
        <f>J214+J218+J226+J205+J222</f>
        <v>4011.0320000000002</v>
      </c>
      <c r="K204" s="379">
        <f>K214+K218+K226+K205+K222</f>
        <v>44.74</v>
      </c>
      <c r="L204" s="379">
        <f>L214+L218+L226+L205+L222</f>
        <v>4055.7719999999999</v>
      </c>
      <c r="M204" s="106">
        <f t="shared" si="60"/>
        <v>-578.49599999999998</v>
      </c>
      <c r="N204" s="107">
        <f>N214+N218+N226+N230+N205</f>
        <v>4018.7759999999998</v>
      </c>
      <c r="O204" s="108">
        <f>L233+L259+L261+L264+L273+L277+L289+L312+L314+L319+L322+L324+L245</f>
        <v>37472.527220000004</v>
      </c>
    </row>
    <row r="205" spans="1:16" ht="86.25">
      <c r="A205" s="109" t="s">
        <v>272</v>
      </c>
      <c r="B205" s="25" t="s">
        <v>270</v>
      </c>
      <c r="C205" s="25" t="s">
        <v>21</v>
      </c>
      <c r="D205" s="25" t="s">
        <v>26</v>
      </c>
      <c r="E205" s="26"/>
      <c r="F205" s="26"/>
      <c r="G205" s="568">
        <f t="shared" ref="G205:N206" si="61">G206</f>
        <v>0.4</v>
      </c>
      <c r="H205" s="207">
        <f>H206+H210</f>
        <v>0</v>
      </c>
      <c r="I205" s="207">
        <f>I206+I210</f>
        <v>0</v>
      </c>
      <c r="J205" s="488">
        <f>J206+J210+J208+J212</f>
        <v>733.726</v>
      </c>
      <c r="K205" s="488">
        <f>K206+K210+K208+K212</f>
        <v>0</v>
      </c>
      <c r="L205" s="488">
        <f>L206+L210+L208+L212</f>
        <v>733.726</v>
      </c>
      <c r="M205" s="37">
        <f>M206+M210+M208+M212</f>
        <v>-50</v>
      </c>
      <c r="N205" s="38">
        <f>N206+N210+N208+N212</f>
        <v>683.726</v>
      </c>
    </row>
    <row r="206" spans="1:16" ht="62.25" customHeight="1">
      <c r="A206" s="31" t="s">
        <v>273</v>
      </c>
      <c r="B206" s="26" t="s">
        <v>270</v>
      </c>
      <c r="C206" s="26" t="s">
        <v>21</v>
      </c>
      <c r="D206" s="26" t="s">
        <v>26</v>
      </c>
      <c r="E206" s="26" t="s">
        <v>274</v>
      </c>
      <c r="F206" s="26"/>
      <c r="G206" s="585">
        <f t="shared" si="61"/>
        <v>0.4</v>
      </c>
      <c r="H206" s="585">
        <f t="shared" si="61"/>
        <v>0</v>
      </c>
      <c r="I206" s="585">
        <f t="shared" si="61"/>
        <v>0</v>
      </c>
      <c r="J206" s="627">
        <f t="shared" si="61"/>
        <v>0.5</v>
      </c>
      <c r="K206" s="627">
        <f t="shared" si="61"/>
        <v>0</v>
      </c>
      <c r="L206" s="627">
        <f t="shared" si="61"/>
        <v>0.5</v>
      </c>
      <c r="M206" s="40">
        <f t="shared" si="61"/>
        <v>0</v>
      </c>
      <c r="N206" s="41">
        <f t="shared" si="61"/>
        <v>0.5</v>
      </c>
    </row>
    <row r="207" spans="1:16" ht="30">
      <c r="A207" s="110" t="s">
        <v>141</v>
      </c>
      <c r="B207" s="26" t="s">
        <v>270</v>
      </c>
      <c r="C207" s="26" t="s">
        <v>21</v>
      </c>
      <c r="D207" s="26" t="s">
        <v>26</v>
      </c>
      <c r="E207" s="26" t="s">
        <v>274</v>
      </c>
      <c r="F207" s="26" t="s">
        <v>142</v>
      </c>
      <c r="G207" s="585">
        <v>0.4</v>
      </c>
      <c r="H207" s="589"/>
      <c r="I207" s="585"/>
      <c r="J207" s="627">
        <v>0.5</v>
      </c>
      <c r="K207" s="379"/>
      <c r="L207" s="627">
        <f>J207+K207</f>
        <v>0.5</v>
      </c>
      <c r="M207" s="40"/>
      <c r="N207" s="30">
        <f>L207+M207</f>
        <v>0.5</v>
      </c>
      <c r="O207" s="11">
        <v>0.5</v>
      </c>
    </row>
    <row r="208" spans="1:16">
      <c r="A208" s="110" t="s">
        <v>192</v>
      </c>
      <c r="B208" s="26" t="s">
        <v>270</v>
      </c>
      <c r="C208" s="26" t="s">
        <v>21</v>
      </c>
      <c r="D208" s="26" t="s">
        <v>26</v>
      </c>
      <c r="E208" s="26" t="s">
        <v>193</v>
      </c>
      <c r="F208" s="26"/>
      <c r="G208" s="585"/>
      <c r="H208" s="589"/>
      <c r="I208" s="585"/>
      <c r="J208" s="627">
        <f>J209</f>
        <v>733.226</v>
      </c>
      <c r="K208" s="627">
        <f>K209</f>
        <v>0</v>
      </c>
      <c r="L208" s="627">
        <f>L209</f>
        <v>733.226</v>
      </c>
      <c r="M208" s="29">
        <f>M209</f>
        <v>-50</v>
      </c>
      <c r="N208" s="30">
        <f>N209</f>
        <v>683.226</v>
      </c>
    </row>
    <row r="209" spans="1:20" ht="30">
      <c r="A209" s="110" t="s">
        <v>135</v>
      </c>
      <c r="B209" s="26" t="s">
        <v>270</v>
      </c>
      <c r="C209" s="26" t="s">
        <v>21</v>
      </c>
      <c r="D209" s="26" t="s">
        <v>26</v>
      </c>
      <c r="E209" s="26" t="s">
        <v>193</v>
      </c>
      <c r="F209" s="26" t="s">
        <v>133</v>
      </c>
      <c r="G209" s="585"/>
      <c r="H209" s="589"/>
      <c r="I209" s="585"/>
      <c r="J209" s="627">
        <v>733.226</v>
      </c>
      <c r="K209" s="379"/>
      <c r="L209" s="627">
        <f>J209+K209</f>
        <v>733.226</v>
      </c>
      <c r="M209" s="40">
        <f>-50</f>
        <v>-50</v>
      </c>
      <c r="N209" s="30">
        <f>L209+M209</f>
        <v>683.226</v>
      </c>
      <c r="O209" s="44">
        <v>733.226</v>
      </c>
      <c r="P209" s="45">
        <f>L209-O209</f>
        <v>0</v>
      </c>
    </row>
    <row r="210" spans="1:20" ht="45" hidden="1" customHeight="1">
      <c r="A210" s="110" t="s">
        <v>275</v>
      </c>
      <c r="B210" s="34" t="s">
        <v>270</v>
      </c>
      <c r="C210" s="34" t="s">
        <v>21</v>
      </c>
      <c r="D210" s="26" t="s">
        <v>26</v>
      </c>
      <c r="E210" s="26" t="s">
        <v>276</v>
      </c>
      <c r="F210" s="26"/>
      <c r="G210" s="585"/>
      <c r="H210" s="589">
        <f t="shared" ref="H210:N210" si="62">H211</f>
        <v>0</v>
      </c>
      <c r="I210" s="589">
        <f t="shared" si="62"/>
        <v>0</v>
      </c>
      <c r="J210" s="627">
        <f t="shared" si="62"/>
        <v>0</v>
      </c>
      <c r="K210" s="627">
        <f t="shared" si="62"/>
        <v>0</v>
      </c>
      <c r="L210" s="627">
        <f t="shared" si="62"/>
        <v>0</v>
      </c>
      <c r="M210" s="29">
        <f t="shared" si="62"/>
        <v>0</v>
      </c>
      <c r="N210" s="30">
        <f t="shared" si="62"/>
        <v>0</v>
      </c>
    </row>
    <row r="211" spans="1:20" ht="30" hidden="1" customHeight="1">
      <c r="A211" s="111" t="s">
        <v>277</v>
      </c>
      <c r="B211" s="34" t="s">
        <v>270</v>
      </c>
      <c r="C211" s="34" t="s">
        <v>21</v>
      </c>
      <c r="D211" s="26" t="s">
        <v>26</v>
      </c>
      <c r="E211" s="26" t="s">
        <v>276</v>
      </c>
      <c r="F211" s="26" t="s">
        <v>133</v>
      </c>
      <c r="G211" s="585"/>
      <c r="H211" s="589"/>
      <c r="I211" s="585"/>
      <c r="J211" s="627">
        <f>H211+I211</f>
        <v>0</v>
      </c>
      <c r="K211" s="379"/>
      <c r="L211" s="627">
        <f>J211+K211</f>
        <v>0</v>
      </c>
      <c r="M211" s="40"/>
      <c r="N211" s="30">
        <f>L211+M211</f>
        <v>0</v>
      </c>
    </row>
    <row r="212" spans="1:20" ht="60" hidden="1">
      <c r="A212" s="110" t="s">
        <v>278</v>
      </c>
      <c r="B212" s="34" t="s">
        <v>270</v>
      </c>
      <c r="C212" s="34" t="s">
        <v>21</v>
      </c>
      <c r="D212" s="26" t="s">
        <v>26</v>
      </c>
      <c r="E212" s="26" t="s">
        <v>279</v>
      </c>
      <c r="F212" s="26"/>
      <c r="G212" s="585"/>
      <c r="H212" s="589"/>
      <c r="I212" s="585"/>
      <c r="J212" s="627">
        <f>J213</f>
        <v>0</v>
      </c>
      <c r="K212" s="627">
        <f>K213</f>
        <v>0</v>
      </c>
      <c r="L212" s="627">
        <f>L213</f>
        <v>0</v>
      </c>
      <c r="M212" s="29">
        <f>M213</f>
        <v>0</v>
      </c>
      <c r="N212" s="30">
        <f>N213</f>
        <v>0</v>
      </c>
    </row>
    <row r="213" spans="1:20" ht="30" hidden="1">
      <c r="A213" s="111" t="s">
        <v>277</v>
      </c>
      <c r="B213" s="34" t="s">
        <v>270</v>
      </c>
      <c r="C213" s="34" t="s">
        <v>21</v>
      </c>
      <c r="D213" s="26" t="s">
        <v>26</v>
      </c>
      <c r="E213" s="26" t="s">
        <v>279</v>
      </c>
      <c r="F213" s="26" t="s">
        <v>133</v>
      </c>
      <c r="G213" s="585"/>
      <c r="H213" s="589"/>
      <c r="I213" s="585"/>
      <c r="J213" s="627"/>
      <c r="K213" s="379"/>
      <c r="L213" s="627">
        <f>J213+K213</f>
        <v>0</v>
      </c>
      <c r="M213" s="40"/>
      <c r="N213" s="30">
        <f>L213+M213</f>
        <v>0</v>
      </c>
    </row>
    <row r="214" spans="1:20" s="113" customFormat="1" ht="57">
      <c r="A214" s="112" t="s">
        <v>280</v>
      </c>
      <c r="B214" s="25" t="s">
        <v>270</v>
      </c>
      <c r="C214" s="25" t="s">
        <v>21</v>
      </c>
      <c r="D214" s="25" t="s">
        <v>30</v>
      </c>
      <c r="E214" s="25"/>
      <c r="F214" s="25"/>
      <c r="G214" s="568">
        <f t="shared" ref="G214:N214" si="63">G215</f>
        <v>412.31000000000006</v>
      </c>
      <c r="H214" s="568">
        <f t="shared" si="63"/>
        <v>2981.6</v>
      </c>
      <c r="I214" s="568">
        <f t="shared" si="63"/>
        <v>0</v>
      </c>
      <c r="J214" s="488">
        <f t="shared" si="63"/>
        <v>3277.306</v>
      </c>
      <c r="K214" s="488">
        <f t="shared" si="63"/>
        <v>44.74</v>
      </c>
      <c r="L214" s="488">
        <f t="shared" si="63"/>
        <v>3322.0459999999998</v>
      </c>
      <c r="M214" s="570">
        <f t="shared" si="63"/>
        <v>-205.49600000000001</v>
      </c>
      <c r="N214" s="96">
        <f t="shared" si="63"/>
        <v>3116.5499999999997</v>
      </c>
    </row>
    <row r="215" spans="1:20" ht="75">
      <c r="A215" s="111" t="s">
        <v>281</v>
      </c>
      <c r="B215" s="26" t="s">
        <v>270</v>
      </c>
      <c r="C215" s="26" t="s">
        <v>21</v>
      </c>
      <c r="D215" s="26" t="s">
        <v>30</v>
      </c>
      <c r="E215" s="26" t="s">
        <v>191</v>
      </c>
      <c r="F215" s="26"/>
      <c r="G215" s="147">
        <f t="shared" ref="G215:M215" si="64">G216+G217</f>
        <v>412.31000000000006</v>
      </c>
      <c r="H215" s="147">
        <f t="shared" si="64"/>
        <v>2981.6</v>
      </c>
      <c r="I215" s="147">
        <f t="shared" si="64"/>
        <v>0</v>
      </c>
      <c r="J215" s="627">
        <f t="shared" si="64"/>
        <v>3277.306</v>
      </c>
      <c r="K215" s="627">
        <f t="shared" si="64"/>
        <v>44.74</v>
      </c>
      <c r="L215" s="627">
        <f t="shared" si="64"/>
        <v>3322.0459999999998</v>
      </c>
      <c r="M215" s="42">
        <f t="shared" si="64"/>
        <v>-205.49600000000001</v>
      </c>
      <c r="N215" s="43">
        <f>N216+N217</f>
        <v>3116.5499999999997</v>
      </c>
    </row>
    <row r="216" spans="1:20" ht="30" hidden="1">
      <c r="A216" s="111" t="s">
        <v>282</v>
      </c>
      <c r="B216" s="26" t="s">
        <v>270</v>
      </c>
      <c r="C216" s="26" t="s">
        <v>21</v>
      </c>
      <c r="D216" s="26" t="s">
        <v>30</v>
      </c>
      <c r="E216" s="26" t="s">
        <v>193</v>
      </c>
      <c r="F216" s="26" t="s">
        <v>234</v>
      </c>
      <c r="G216" s="147">
        <v>-0.4</v>
      </c>
      <c r="H216" s="589">
        <v>2981.6</v>
      </c>
      <c r="I216" s="147"/>
      <c r="J216" s="627"/>
      <c r="K216" s="627"/>
      <c r="L216" s="627">
        <f>J216+K216</f>
        <v>0</v>
      </c>
      <c r="M216" s="42"/>
      <c r="N216" s="30">
        <f>L216+M216</f>
        <v>0</v>
      </c>
    </row>
    <row r="217" spans="1:20" s="387" customFormat="1" ht="30">
      <c r="A217" s="383" t="s">
        <v>135</v>
      </c>
      <c r="B217" s="384" t="s">
        <v>270</v>
      </c>
      <c r="C217" s="384" t="s">
        <v>21</v>
      </c>
      <c r="D217" s="384" t="s">
        <v>30</v>
      </c>
      <c r="E217" s="384" t="s">
        <v>193</v>
      </c>
      <c r="F217" s="384" t="s">
        <v>133</v>
      </c>
      <c r="G217" s="599">
        <f>50+360+80+3.47-0.01-80-3.47+2.72</f>
        <v>412.71000000000004</v>
      </c>
      <c r="H217" s="600"/>
      <c r="I217" s="599"/>
      <c r="J217" s="630">
        <v>3277.306</v>
      </c>
      <c r="K217" s="630">
        <f>2.34+0.8+41.6</f>
        <v>44.74</v>
      </c>
      <c r="L217" s="630">
        <f>J217+K217</f>
        <v>3322.0459999999998</v>
      </c>
      <c r="M217" s="385">
        <f>-205.496</f>
        <v>-205.49600000000001</v>
      </c>
      <c r="N217" s="386">
        <f>L217+M217</f>
        <v>3116.5499999999997</v>
      </c>
      <c r="O217" s="387">
        <v>3092.22</v>
      </c>
      <c r="P217" s="140">
        <f>L217-O217</f>
        <v>229.82600000000002</v>
      </c>
      <c r="R217" s="388" t="s">
        <v>1077</v>
      </c>
      <c r="S217" s="388"/>
      <c r="T217" s="388"/>
    </row>
    <row r="218" spans="1:20" s="113" customFormat="1" ht="28.5" hidden="1">
      <c r="A218" s="112" t="s">
        <v>33</v>
      </c>
      <c r="B218" s="25" t="s">
        <v>270</v>
      </c>
      <c r="C218" s="25" t="s">
        <v>21</v>
      </c>
      <c r="D218" s="25" t="s">
        <v>34</v>
      </c>
      <c r="E218" s="25"/>
      <c r="F218" s="25"/>
      <c r="G218" s="568">
        <f t="shared" ref="G218:N220" si="65">G219</f>
        <v>0</v>
      </c>
      <c r="H218" s="568">
        <f t="shared" si="65"/>
        <v>63</v>
      </c>
      <c r="I218" s="568">
        <f t="shared" si="65"/>
        <v>0</v>
      </c>
      <c r="J218" s="488">
        <f t="shared" si="65"/>
        <v>0</v>
      </c>
      <c r="K218" s="488">
        <f t="shared" si="65"/>
        <v>0</v>
      </c>
      <c r="L218" s="488">
        <f t="shared" si="65"/>
        <v>0</v>
      </c>
      <c r="M218" s="570">
        <f t="shared" si="65"/>
        <v>0</v>
      </c>
      <c r="N218" s="96">
        <f t="shared" si="65"/>
        <v>0</v>
      </c>
    </row>
    <row r="219" spans="1:20" ht="30" hidden="1">
      <c r="A219" s="111" t="s">
        <v>283</v>
      </c>
      <c r="B219" s="26" t="s">
        <v>270</v>
      </c>
      <c r="C219" s="26" t="s">
        <v>21</v>
      </c>
      <c r="D219" s="26" t="s">
        <v>34</v>
      </c>
      <c r="E219" s="26" t="s">
        <v>284</v>
      </c>
      <c r="F219" s="26"/>
      <c r="G219" s="147">
        <f t="shared" si="65"/>
        <v>0</v>
      </c>
      <c r="H219" s="147">
        <f t="shared" si="65"/>
        <v>63</v>
      </c>
      <c r="I219" s="147">
        <f t="shared" si="65"/>
        <v>0</v>
      </c>
      <c r="J219" s="627">
        <f t="shared" si="65"/>
        <v>0</v>
      </c>
      <c r="K219" s="627">
        <f t="shared" si="65"/>
        <v>0</v>
      </c>
      <c r="L219" s="627">
        <f t="shared" si="65"/>
        <v>0</v>
      </c>
      <c r="M219" s="42">
        <f t="shared" si="65"/>
        <v>0</v>
      </c>
      <c r="N219" s="43">
        <f t="shared" si="65"/>
        <v>0</v>
      </c>
    </row>
    <row r="220" spans="1:20" ht="30" hidden="1">
      <c r="A220" s="111" t="s">
        <v>285</v>
      </c>
      <c r="B220" s="26" t="s">
        <v>270</v>
      </c>
      <c r="C220" s="26" t="s">
        <v>21</v>
      </c>
      <c r="D220" s="26" t="s">
        <v>34</v>
      </c>
      <c r="E220" s="26" t="s">
        <v>286</v>
      </c>
      <c r="F220" s="26"/>
      <c r="G220" s="147">
        <f t="shared" si="65"/>
        <v>0</v>
      </c>
      <c r="H220" s="147">
        <f t="shared" si="65"/>
        <v>63</v>
      </c>
      <c r="I220" s="147">
        <f t="shared" si="65"/>
        <v>0</v>
      </c>
      <c r="J220" s="627">
        <f t="shared" si="65"/>
        <v>0</v>
      </c>
      <c r="K220" s="627">
        <f t="shared" si="65"/>
        <v>0</v>
      </c>
      <c r="L220" s="627">
        <f t="shared" si="65"/>
        <v>0</v>
      </c>
      <c r="M220" s="42">
        <f t="shared" si="65"/>
        <v>0</v>
      </c>
      <c r="N220" s="43">
        <f t="shared" si="65"/>
        <v>0</v>
      </c>
    </row>
    <row r="221" spans="1:20" hidden="1">
      <c r="A221" s="111" t="s">
        <v>287</v>
      </c>
      <c r="B221" s="26" t="s">
        <v>270</v>
      </c>
      <c r="C221" s="26" t="s">
        <v>21</v>
      </c>
      <c r="D221" s="26" t="s">
        <v>34</v>
      </c>
      <c r="E221" s="26" t="s">
        <v>286</v>
      </c>
      <c r="F221" s="26" t="s">
        <v>288</v>
      </c>
      <c r="G221" s="147"/>
      <c r="H221" s="589">
        <v>63</v>
      </c>
      <c r="I221" s="147"/>
      <c r="J221" s="627"/>
      <c r="K221" s="627"/>
      <c r="L221" s="627">
        <f>J221+K221</f>
        <v>0</v>
      </c>
      <c r="M221" s="42"/>
      <c r="N221" s="30">
        <f>L221+M221</f>
        <v>0</v>
      </c>
      <c r="O221" s="44"/>
    </row>
    <row r="222" spans="1:20">
      <c r="A222" s="111" t="s">
        <v>35</v>
      </c>
      <c r="B222" s="25" t="s">
        <v>270</v>
      </c>
      <c r="C222" s="25" t="s">
        <v>21</v>
      </c>
      <c r="D222" s="25" t="s">
        <v>34</v>
      </c>
      <c r="E222" s="25"/>
      <c r="F222" s="25"/>
      <c r="G222" s="147"/>
      <c r="H222" s="589"/>
      <c r="I222" s="147"/>
      <c r="J222" s="488">
        <f t="shared" ref="J222:L224" si="66">J223</f>
        <v>0</v>
      </c>
      <c r="K222" s="488">
        <f t="shared" si="66"/>
        <v>0</v>
      </c>
      <c r="L222" s="488">
        <f t="shared" si="66"/>
        <v>0</v>
      </c>
      <c r="M222" s="42"/>
      <c r="N222" s="30"/>
      <c r="O222" s="44"/>
    </row>
    <row r="223" spans="1:20">
      <c r="A223" s="111" t="s">
        <v>35</v>
      </c>
      <c r="B223" s="26" t="s">
        <v>270</v>
      </c>
      <c r="C223" s="26" t="s">
        <v>21</v>
      </c>
      <c r="D223" s="26" t="s">
        <v>34</v>
      </c>
      <c r="E223" s="26" t="s">
        <v>289</v>
      </c>
      <c r="F223" s="26"/>
      <c r="G223" s="147"/>
      <c r="H223" s="589"/>
      <c r="I223" s="147"/>
      <c r="J223" s="627">
        <f t="shared" si="66"/>
        <v>0</v>
      </c>
      <c r="K223" s="627">
        <f t="shared" si="66"/>
        <v>0</v>
      </c>
      <c r="L223" s="627">
        <f t="shared" si="66"/>
        <v>0</v>
      </c>
      <c r="M223" s="42"/>
      <c r="N223" s="30"/>
      <c r="O223" s="44"/>
    </row>
    <row r="224" spans="1:20" ht="30">
      <c r="A224" s="111" t="s">
        <v>290</v>
      </c>
      <c r="B224" s="26" t="s">
        <v>270</v>
      </c>
      <c r="C224" s="26" t="s">
        <v>21</v>
      </c>
      <c r="D224" s="26" t="s">
        <v>34</v>
      </c>
      <c r="E224" s="26" t="s">
        <v>291</v>
      </c>
      <c r="F224" s="26"/>
      <c r="G224" s="147"/>
      <c r="H224" s="589"/>
      <c r="I224" s="147"/>
      <c r="J224" s="627">
        <f t="shared" si="66"/>
        <v>0</v>
      </c>
      <c r="K224" s="627">
        <f t="shared" si="66"/>
        <v>0</v>
      </c>
      <c r="L224" s="627">
        <f t="shared" si="66"/>
        <v>0</v>
      </c>
      <c r="M224" s="42"/>
      <c r="N224" s="30"/>
      <c r="O224" s="44"/>
    </row>
    <row r="225" spans="1:16">
      <c r="A225" s="111" t="s">
        <v>287</v>
      </c>
      <c r="B225" s="26" t="s">
        <v>270</v>
      </c>
      <c r="C225" s="26" t="s">
        <v>21</v>
      </c>
      <c r="D225" s="26" t="s">
        <v>34</v>
      </c>
      <c r="E225" s="26" t="s">
        <v>291</v>
      </c>
      <c r="F225" s="26" t="s">
        <v>288</v>
      </c>
      <c r="G225" s="147"/>
      <c r="H225" s="589"/>
      <c r="I225" s="147"/>
      <c r="J225" s="627"/>
      <c r="K225" s="627"/>
      <c r="L225" s="627">
        <f>J225+K225</f>
        <v>0</v>
      </c>
      <c r="M225" s="42"/>
      <c r="N225" s="30"/>
      <c r="O225" s="44">
        <v>233</v>
      </c>
      <c r="P225" s="15">
        <f>K225-O225</f>
        <v>-233</v>
      </c>
    </row>
    <row r="226" spans="1:16" s="113" customFormat="1" hidden="1">
      <c r="A226" s="111" t="s">
        <v>35</v>
      </c>
      <c r="B226" s="25" t="s">
        <v>270</v>
      </c>
      <c r="C226" s="25" t="s">
        <v>21</v>
      </c>
      <c r="D226" s="25" t="s">
        <v>36</v>
      </c>
      <c r="E226" s="25"/>
      <c r="F226" s="25"/>
      <c r="G226" s="568">
        <f t="shared" ref="G226:N228" si="67">G227</f>
        <v>-233.58</v>
      </c>
      <c r="H226" s="568">
        <f t="shared" si="67"/>
        <v>0</v>
      </c>
      <c r="I226" s="568">
        <f t="shared" si="67"/>
        <v>0</v>
      </c>
      <c r="J226" s="488">
        <f t="shared" si="67"/>
        <v>0</v>
      </c>
      <c r="K226" s="488">
        <f t="shared" si="67"/>
        <v>0</v>
      </c>
      <c r="L226" s="488">
        <f t="shared" si="67"/>
        <v>0</v>
      </c>
      <c r="M226" s="570">
        <f t="shared" si="67"/>
        <v>-323</v>
      </c>
      <c r="N226" s="96">
        <f t="shared" si="67"/>
        <v>-323</v>
      </c>
    </row>
    <row r="227" spans="1:16" hidden="1">
      <c r="A227" s="111" t="s">
        <v>35</v>
      </c>
      <c r="B227" s="26" t="s">
        <v>270</v>
      </c>
      <c r="C227" s="26" t="s">
        <v>21</v>
      </c>
      <c r="D227" s="26" t="s">
        <v>36</v>
      </c>
      <c r="E227" s="26" t="s">
        <v>289</v>
      </c>
      <c r="F227" s="26"/>
      <c r="G227" s="147">
        <f t="shared" si="67"/>
        <v>-233.58</v>
      </c>
      <c r="H227" s="147">
        <f t="shared" si="67"/>
        <v>0</v>
      </c>
      <c r="I227" s="147">
        <f t="shared" si="67"/>
        <v>0</v>
      </c>
      <c r="J227" s="627">
        <f t="shared" si="67"/>
        <v>0</v>
      </c>
      <c r="K227" s="627">
        <f t="shared" si="67"/>
        <v>0</v>
      </c>
      <c r="L227" s="627">
        <f t="shared" si="67"/>
        <v>0</v>
      </c>
      <c r="M227" s="42">
        <f t="shared" si="67"/>
        <v>-323</v>
      </c>
      <c r="N227" s="43">
        <f t="shared" si="67"/>
        <v>-323</v>
      </c>
    </row>
    <row r="228" spans="1:16" ht="30" hidden="1">
      <c r="A228" s="111" t="s">
        <v>290</v>
      </c>
      <c r="B228" s="26" t="s">
        <v>270</v>
      </c>
      <c r="C228" s="26" t="s">
        <v>21</v>
      </c>
      <c r="D228" s="26" t="s">
        <v>36</v>
      </c>
      <c r="E228" s="26" t="s">
        <v>291</v>
      </c>
      <c r="F228" s="26"/>
      <c r="G228" s="147">
        <f t="shared" si="67"/>
        <v>-233.58</v>
      </c>
      <c r="H228" s="147">
        <f t="shared" si="67"/>
        <v>0</v>
      </c>
      <c r="I228" s="147">
        <f t="shared" si="67"/>
        <v>0</v>
      </c>
      <c r="J228" s="627">
        <f t="shared" si="67"/>
        <v>0</v>
      </c>
      <c r="K228" s="627">
        <f t="shared" si="67"/>
        <v>0</v>
      </c>
      <c r="L228" s="627">
        <f t="shared" si="67"/>
        <v>0</v>
      </c>
      <c r="M228" s="42">
        <f t="shared" si="67"/>
        <v>-323</v>
      </c>
      <c r="N228" s="43">
        <f t="shared" si="67"/>
        <v>-323</v>
      </c>
    </row>
    <row r="229" spans="1:16" hidden="1">
      <c r="A229" s="111" t="s">
        <v>287</v>
      </c>
      <c r="B229" s="26" t="s">
        <v>270</v>
      </c>
      <c r="C229" s="26" t="s">
        <v>21</v>
      </c>
      <c r="D229" s="26" t="s">
        <v>36</v>
      </c>
      <c r="E229" s="26" t="s">
        <v>291</v>
      </c>
      <c r="F229" s="26" t="s">
        <v>288</v>
      </c>
      <c r="G229" s="147">
        <f>-163.58-60-10</f>
        <v>-233.58</v>
      </c>
      <c r="H229" s="589"/>
      <c r="I229" s="147"/>
      <c r="J229" s="627"/>
      <c r="K229" s="627"/>
      <c r="L229" s="627">
        <f>J229+K229</f>
        <v>0</v>
      </c>
      <c r="M229" s="28">
        <f>-323</f>
        <v>-323</v>
      </c>
      <c r="N229" s="55">
        <f>L229+M229</f>
        <v>-323</v>
      </c>
      <c r="O229" s="44"/>
    </row>
    <row r="230" spans="1:16" s="113" customFormat="1" ht="14.25" customHeight="1">
      <c r="A230" s="114" t="s">
        <v>40</v>
      </c>
      <c r="B230" s="115" t="s">
        <v>270</v>
      </c>
      <c r="C230" s="115" t="s">
        <v>22</v>
      </c>
      <c r="D230" s="115" t="s">
        <v>292</v>
      </c>
      <c r="E230" s="115"/>
      <c r="F230" s="115"/>
      <c r="G230" s="601">
        <f t="shared" ref="G230:N232" si="68">G231</f>
        <v>-1000</v>
      </c>
      <c r="H230" s="601">
        <f t="shared" si="68"/>
        <v>1548</v>
      </c>
      <c r="I230" s="601">
        <f t="shared" si="68"/>
        <v>0</v>
      </c>
      <c r="J230" s="379">
        <f t="shared" si="68"/>
        <v>541.5</v>
      </c>
      <c r="K230" s="379">
        <f t="shared" si="68"/>
        <v>0</v>
      </c>
      <c r="L230" s="379">
        <f t="shared" si="68"/>
        <v>541.5</v>
      </c>
      <c r="M230" s="570">
        <f t="shared" si="68"/>
        <v>0</v>
      </c>
      <c r="N230" s="96">
        <f t="shared" si="68"/>
        <v>541.5</v>
      </c>
    </row>
    <row r="231" spans="1:16" ht="26.25" customHeight="1">
      <c r="A231" s="62" t="s">
        <v>293</v>
      </c>
      <c r="B231" s="26" t="s">
        <v>270</v>
      </c>
      <c r="C231" s="26" t="s">
        <v>22</v>
      </c>
      <c r="D231" s="26" t="s">
        <v>24</v>
      </c>
      <c r="E231" s="26"/>
      <c r="F231" s="26"/>
      <c r="G231" s="147">
        <f t="shared" si="68"/>
        <v>-1000</v>
      </c>
      <c r="H231" s="147">
        <f t="shared" si="68"/>
        <v>1548</v>
      </c>
      <c r="I231" s="147">
        <f t="shared" si="68"/>
        <v>0</v>
      </c>
      <c r="J231" s="627">
        <f t="shared" si="68"/>
        <v>541.5</v>
      </c>
      <c r="K231" s="627">
        <f t="shared" si="68"/>
        <v>0</v>
      </c>
      <c r="L231" s="627">
        <f t="shared" si="68"/>
        <v>541.5</v>
      </c>
      <c r="M231" s="42">
        <f t="shared" si="68"/>
        <v>0</v>
      </c>
      <c r="N231" s="43">
        <f t="shared" si="68"/>
        <v>541.5</v>
      </c>
    </row>
    <row r="232" spans="1:16" ht="43.5" customHeight="1">
      <c r="A232" s="62" t="s">
        <v>294</v>
      </c>
      <c r="B232" s="26" t="s">
        <v>270</v>
      </c>
      <c r="C232" s="26" t="s">
        <v>22</v>
      </c>
      <c r="D232" s="26" t="s">
        <v>24</v>
      </c>
      <c r="E232" s="26" t="s">
        <v>295</v>
      </c>
      <c r="F232" s="26"/>
      <c r="G232" s="147">
        <f t="shared" si="68"/>
        <v>-1000</v>
      </c>
      <c r="H232" s="147">
        <f t="shared" si="68"/>
        <v>1548</v>
      </c>
      <c r="I232" s="147">
        <f t="shared" si="68"/>
        <v>0</v>
      </c>
      <c r="J232" s="627">
        <f>J233+J234</f>
        <v>541.5</v>
      </c>
      <c r="K232" s="627">
        <f>K233+K234</f>
        <v>0</v>
      </c>
      <c r="L232" s="627">
        <f>L233+L234</f>
        <v>541.5</v>
      </c>
      <c r="M232" s="30">
        <f>M233+M234</f>
        <v>0</v>
      </c>
      <c r="N232" s="30">
        <f>N233+N234</f>
        <v>541.5</v>
      </c>
    </row>
    <row r="233" spans="1:16" ht="15" customHeight="1">
      <c r="A233" s="116" t="s">
        <v>296</v>
      </c>
      <c r="B233" s="26" t="s">
        <v>270</v>
      </c>
      <c r="C233" s="26" t="s">
        <v>22</v>
      </c>
      <c r="D233" s="26" t="s">
        <v>24</v>
      </c>
      <c r="E233" s="26" t="s">
        <v>295</v>
      </c>
      <c r="F233" s="26" t="s">
        <v>297</v>
      </c>
      <c r="G233" s="147">
        <v>-1000</v>
      </c>
      <c r="H233" s="589">
        <v>1548</v>
      </c>
      <c r="I233" s="147"/>
      <c r="J233" s="627">
        <v>541.5</v>
      </c>
      <c r="K233" s="627"/>
      <c r="L233" s="627">
        <f>J233+K233</f>
        <v>541.5</v>
      </c>
      <c r="M233" s="42"/>
      <c r="N233" s="30">
        <f>L233+M233</f>
        <v>541.5</v>
      </c>
      <c r="O233" s="11">
        <v>470.2</v>
      </c>
      <c r="P233" s="15">
        <f>K233</f>
        <v>0</v>
      </c>
    </row>
    <row r="234" spans="1:16" ht="25.5" hidden="1" customHeight="1">
      <c r="A234" s="111" t="s">
        <v>298</v>
      </c>
      <c r="B234" s="26" t="s">
        <v>270</v>
      </c>
      <c r="C234" s="26" t="s">
        <v>21</v>
      </c>
      <c r="D234" s="26" t="s">
        <v>39</v>
      </c>
      <c r="E234" s="26"/>
      <c r="F234" s="26"/>
      <c r="G234" s="67">
        <f t="shared" ref="G234:N234" si="69">G235</f>
        <v>0</v>
      </c>
      <c r="H234" s="67">
        <f t="shared" si="69"/>
        <v>0</v>
      </c>
      <c r="I234" s="67">
        <f t="shared" si="69"/>
        <v>0</v>
      </c>
      <c r="J234" s="627">
        <f t="shared" si="69"/>
        <v>0</v>
      </c>
      <c r="K234" s="627">
        <f t="shared" si="69"/>
        <v>0</v>
      </c>
      <c r="L234" s="627">
        <f t="shared" si="69"/>
        <v>0</v>
      </c>
      <c r="M234" s="117">
        <f t="shared" si="69"/>
        <v>0</v>
      </c>
      <c r="N234" s="117">
        <f t="shared" si="69"/>
        <v>0</v>
      </c>
    </row>
    <row r="235" spans="1:16" ht="28.5" hidden="1" customHeight="1">
      <c r="A235" s="111" t="s">
        <v>299</v>
      </c>
      <c r="B235" s="26" t="s">
        <v>270</v>
      </c>
      <c r="C235" s="26" t="s">
        <v>21</v>
      </c>
      <c r="D235" s="26" t="s">
        <v>39</v>
      </c>
      <c r="E235" s="26"/>
      <c r="F235" s="26" t="s">
        <v>288</v>
      </c>
      <c r="G235" s="147"/>
      <c r="H235" s="589"/>
      <c r="I235" s="147"/>
      <c r="J235" s="627"/>
      <c r="K235" s="627"/>
      <c r="L235" s="627">
        <f>J235+K235</f>
        <v>0</v>
      </c>
      <c r="M235" s="118"/>
      <c r="N235" s="117">
        <f>L235+M235</f>
        <v>0</v>
      </c>
    </row>
    <row r="236" spans="1:16" ht="43.5">
      <c r="A236" s="176" t="s">
        <v>43</v>
      </c>
      <c r="B236" s="34" t="s">
        <v>270</v>
      </c>
      <c r="C236" s="34" t="s">
        <v>24</v>
      </c>
      <c r="D236" s="26"/>
      <c r="E236" s="26"/>
      <c r="F236" s="26"/>
      <c r="G236" s="585">
        <f t="shared" ref="G236:N236" si="70">G237</f>
        <v>0</v>
      </c>
      <c r="H236" s="585">
        <f t="shared" si="70"/>
        <v>526.1</v>
      </c>
      <c r="I236" s="585">
        <f t="shared" si="70"/>
        <v>0</v>
      </c>
      <c r="J236" s="379">
        <f t="shared" si="70"/>
        <v>700</v>
      </c>
      <c r="K236" s="379">
        <f t="shared" si="70"/>
        <v>0</v>
      </c>
      <c r="L236" s="379">
        <f t="shared" si="70"/>
        <v>700</v>
      </c>
      <c r="M236" s="106">
        <f t="shared" si="70"/>
        <v>0</v>
      </c>
      <c r="N236" s="107">
        <f t="shared" si="70"/>
        <v>700</v>
      </c>
    </row>
    <row r="237" spans="1:16" s="113" customFormat="1" ht="14.25">
      <c r="A237" s="119" t="s">
        <v>45</v>
      </c>
      <c r="B237" s="25" t="s">
        <v>270</v>
      </c>
      <c r="C237" s="25" t="s">
        <v>24</v>
      </c>
      <c r="D237" s="25" t="s">
        <v>22</v>
      </c>
      <c r="E237" s="25"/>
      <c r="F237" s="25"/>
      <c r="G237" s="568">
        <f t="shared" ref="G237:M237" si="71">G238+G240</f>
        <v>0</v>
      </c>
      <c r="H237" s="568">
        <f t="shared" si="71"/>
        <v>526.1</v>
      </c>
      <c r="I237" s="568">
        <f t="shared" si="71"/>
        <v>0</v>
      </c>
      <c r="J237" s="488">
        <f t="shared" si="71"/>
        <v>700</v>
      </c>
      <c r="K237" s="488">
        <f t="shared" si="71"/>
        <v>0</v>
      </c>
      <c r="L237" s="488">
        <f t="shared" si="71"/>
        <v>700</v>
      </c>
      <c r="M237" s="570">
        <f t="shared" si="71"/>
        <v>0</v>
      </c>
      <c r="N237" s="96">
        <f>N238+N240</f>
        <v>700</v>
      </c>
    </row>
    <row r="238" spans="1:16" ht="38.25">
      <c r="A238" s="602" t="s">
        <v>300</v>
      </c>
      <c r="B238" s="26" t="s">
        <v>270</v>
      </c>
      <c r="C238" s="26" t="s">
        <v>24</v>
      </c>
      <c r="D238" s="26" t="s">
        <v>22</v>
      </c>
      <c r="E238" s="26" t="s">
        <v>301</v>
      </c>
      <c r="F238" s="26"/>
      <c r="G238" s="147">
        <f t="shared" ref="G238:N238" si="72">G239</f>
        <v>0</v>
      </c>
      <c r="H238" s="147">
        <f t="shared" si="72"/>
        <v>316.5</v>
      </c>
      <c r="I238" s="147">
        <f t="shared" si="72"/>
        <v>0</v>
      </c>
      <c r="J238" s="627">
        <f t="shared" si="72"/>
        <v>300</v>
      </c>
      <c r="K238" s="627">
        <f t="shared" si="72"/>
        <v>0</v>
      </c>
      <c r="L238" s="627">
        <f t="shared" si="72"/>
        <v>300</v>
      </c>
      <c r="M238" s="42">
        <f t="shared" si="72"/>
        <v>0</v>
      </c>
      <c r="N238" s="43">
        <f t="shared" si="72"/>
        <v>300</v>
      </c>
    </row>
    <row r="239" spans="1:16" ht="30">
      <c r="A239" s="116" t="s">
        <v>135</v>
      </c>
      <c r="B239" s="26" t="s">
        <v>270</v>
      </c>
      <c r="C239" s="26" t="s">
        <v>24</v>
      </c>
      <c r="D239" s="26" t="s">
        <v>22</v>
      </c>
      <c r="E239" s="26" t="s">
        <v>301</v>
      </c>
      <c r="F239" s="26" t="s">
        <v>133</v>
      </c>
      <c r="G239" s="147"/>
      <c r="H239" s="589">
        <v>316.5</v>
      </c>
      <c r="I239" s="147"/>
      <c r="J239" s="627">
        <v>300</v>
      </c>
      <c r="K239" s="627"/>
      <c r="L239" s="627">
        <f>J239+K239</f>
        <v>300</v>
      </c>
      <c r="M239" s="42"/>
      <c r="N239" s="30">
        <f>L239+M239</f>
        <v>300</v>
      </c>
      <c r="O239" s="44"/>
    </row>
    <row r="240" spans="1:16" ht="43.5" customHeight="1">
      <c r="A240" s="120" t="s">
        <v>302</v>
      </c>
      <c r="B240" s="26" t="s">
        <v>270</v>
      </c>
      <c r="C240" s="26" t="s">
        <v>24</v>
      </c>
      <c r="D240" s="26" t="s">
        <v>22</v>
      </c>
      <c r="E240" s="26" t="s">
        <v>303</v>
      </c>
      <c r="F240" s="26"/>
      <c r="G240" s="147">
        <f t="shared" ref="G240:N240" si="73">G241</f>
        <v>0</v>
      </c>
      <c r="H240" s="147">
        <f t="shared" si="73"/>
        <v>209.6</v>
      </c>
      <c r="I240" s="147">
        <f t="shared" si="73"/>
        <v>0</v>
      </c>
      <c r="J240" s="627">
        <f t="shared" si="73"/>
        <v>400</v>
      </c>
      <c r="K240" s="627">
        <f t="shared" si="73"/>
        <v>0</v>
      </c>
      <c r="L240" s="627">
        <f t="shared" si="73"/>
        <v>400</v>
      </c>
      <c r="M240" s="42">
        <f t="shared" si="73"/>
        <v>0</v>
      </c>
      <c r="N240" s="43">
        <f t="shared" si="73"/>
        <v>400</v>
      </c>
    </row>
    <row r="241" spans="1:16" ht="30.75" thickBot="1">
      <c r="A241" s="116" t="s">
        <v>135</v>
      </c>
      <c r="B241" s="26" t="s">
        <v>270</v>
      </c>
      <c r="C241" s="26" t="s">
        <v>24</v>
      </c>
      <c r="D241" s="26" t="s">
        <v>22</v>
      </c>
      <c r="E241" s="26" t="s">
        <v>303</v>
      </c>
      <c r="F241" s="26" t="s">
        <v>133</v>
      </c>
      <c r="G241" s="147"/>
      <c r="H241" s="589">
        <v>209.6</v>
      </c>
      <c r="I241" s="147"/>
      <c r="J241" s="627">
        <f>200+200</f>
        <v>400</v>
      </c>
      <c r="K241" s="627"/>
      <c r="L241" s="627">
        <f>J241+K241</f>
        <v>400</v>
      </c>
      <c r="M241" s="83"/>
      <c r="N241" s="103">
        <f>L241+M241</f>
        <v>400</v>
      </c>
      <c r="O241" s="44"/>
    </row>
    <row r="242" spans="1:16">
      <c r="A242" s="176" t="s">
        <v>48</v>
      </c>
      <c r="B242" s="34" t="s">
        <v>270</v>
      </c>
      <c r="C242" s="34" t="s">
        <v>26</v>
      </c>
      <c r="D242" s="34"/>
      <c r="E242" s="34"/>
      <c r="F242" s="34"/>
      <c r="G242" s="585" t="e">
        <f t="shared" ref="G242:N242" si="74">G243+G247</f>
        <v>#REF!</v>
      </c>
      <c r="H242" s="585" t="e">
        <f t="shared" si="74"/>
        <v>#REF!</v>
      </c>
      <c r="I242" s="585" t="e">
        <f t="shared" si="74"/>
        <v>#REF!</v>
      </c>
      <c r="J242" s="379">
        <f t="shared" si="74"/>
        <v>1025.5175300000001</v>
      </c>
      <c r="K242" s="379">
        <f t="shared" si="74"/>
        <v>1612.4785499999998</v>
      </c>
      <c r="L242" s="379">
        <f t="shared" si="74"/>
        <v>2637.9960799999999</v>
      </c>
      <c r="M242" s="40" t="e">
        <f t="shared" si="74"/>
        <v>#REF!</v>
      </c>
      <c r="N242" s="41" t="e">
        <f t="shared" si="74"/>
        <v>#REF!</v>
      </c>
    </row>
    <row r="243" spans="1:16" s="113" customFormat="1" ht="17.25" customHeight="1">
      <c r="A243" s="121" t="s">
        <v>50</v>
      </c>
      <c r="B243" s="25" t="s">
        <v>270</v>
      </c>
      <c r="C243" s="25" t="s">
        <v>26</v>
      </c>
      <c r="D243" s="25" t="s">
        <v>21</v>
      </c>
      <c r="E243" s="25"/>
      <c r="F243" s="25"/>
      <c r="G243" s="568" t="e">
        <f>G244</f>
        <v>#REF!</v>
      </c>
      <c r="H243" s="207" t="e">
        <f>H244+#REF!</f>
        <v>#REF!</v>
      </c>
      <c r="I243" s="207" t="e">
        <f>I244+#REF!</f>
        <v>#REF!</v>
      </c>
      <c r="J243" s="488">
        <f>J244</f>
        <v>542.28953000000001</v>
      </c>
      <c r="K243" s="488">
        <f>K244</f>
        <v>-56.352450000000005</v>
      </c>
      <c r="L243" s="488">
        <f>L244</f>
        <v>485.93707999999998</v>
      </c>
      <c r="M243" s="70" t="e">
        <f>M244+#REF!</f>
        <v>#REF!</v>
      </c>
      <c r="N243" s="122" t="e">
        <f>N244+#REF!</f>
        <v>#REF!</v>
      </c>
    </row>
    <row r="244" spans="1:16" ht="30">
      <c r="A244" s="123" t="s">
        <v>1150</v>
      </c>
      <c r="B244" s="26" t="s">
        <v>270</v>
      </c>
      <c r="C244" s="26" t="s">
        <v>26</v>
      </c>
      <c r="D244" s="26" t="s">
        <v>21</v>
      </c>
      <c r="E244" s="26" t="s">
        <v>1140</v>
      </c>
      <c r="F244" s="26"/>
      <c r="G244" s="147" t="e">
        <f>#REF!</f>
        <v>#REF!</v>
      </c>
      <c r="H244" s="147" t="e">
        <f>#REF!</f>
        <v>#REF!</v>
      </c>
      <c r="I244" s="147" t="e">
        <f>#REF!</f>
        <v>#REF!</v>
      </c>
      <c r="J244" s="627">
        <f>SUM(J245:J246)</f>
        <v>542.28953000000001</v>
      </c>
      <c r="K244" s="627">
        <f>SUM(K245:K246)</f>
        <v>-56.352450000000005</v>
      </c>
      <c r="L244" s="627">
        <f>SUM(L245:L246)</f>
        <v>485.93707999999998</v>
      </c>
      <c r="M244" s="42" t="e">
        <f>#REF!</f>
        <v>#REF!</v>
      </c>
      <c r="N244" s="43" t="e">
        <f>#REF!</f>
        <v>#REF!</v>
      </c>
      <c r="P244" s="123"/>
    </row>
    <row r="245" spans="1:16">
      <c r="A245" s="123" t="s">
        <v>6</v>
      </c>
      <c r="B245" s="26" t="s">
        <v>270</v>
      </c>
      <c r="C245" s="26" t="s">
        <v>26</v>
      </c>
      <c r="D245" s="26" t="s">
        <v>21</v>
      </c>
      <c r="E245" s="26" t="s">
        <v>1140</v>
      </c>
      <c r="F245" s="26" t="s">
        <v>334</v>
      </c>
      <c r="G245" s="147"/>
      <c r="H245" s="147"/>
      <c r="I245" s="147"/>
      <c r="J245" s="627">
        <v>94.502669999999995</v>
      </c>
      <c r="K245" s="627">
        <f>138.10405</f>
        <v>138.10405</v>
      </c>
      <c r="L245" s="627">
        <f>J245+K245</f>
        <v>232.60672</v>
      </c>
      <c r="M245" s="42"/>
      <c r="N245" s="43"/>
    </row>
    <row r="246" spans="1:16" ht="30">
      <c r="A246" s="116" t="s">
        <v>135</v>
      </c>
      <c r="B246" s="26" t="s">
        <v>270</v>
      </c>
      <c r="C246" s="26" t="s">
        <v>26</v>
      </c>
      <c r="D246" s="26" t="s">
        <v>21</v>
      </c>
      <c r="E246" s="26" t="s">
        <v>1140</v>
      </c>
      <c r="F246" s="26" t="s">
        <v>142</v>
      </c>
      <c r="G246" s="147"/>
      <c r="H246" s="147"/>
      <c r="I246" s="147"/>
      <c r="J246" s="627">
        <v>447.78685999999999</v>
      </c>
      <c r="K246" s="627">
        <f>60.6-255.0565</f>
        <v>-194.45650000000001</v>
      </c>
      <c r="L246" s="627">
        <f>J246+K246</f>
        <v>253.33035999999998</v>
      </c>
      <c r="M246" s="42"/>
      <c r="N246" s="43"/>
    </row>
    <row r="247" spans="1:16" s="113" customFormat="1" ht="24" customHeight="1">
      <c r="A247" s="112" t="s">
        <v>56</v>
      </c>
      <c r="B247" s="25" t="s">
        <v>270</v>
      </c>
      <c r="C247" s="25" t="s">
        <v>26</v>
      </c>
      <c r="D247" s="25" t="s">
        <v>36</v>
      </c>
      <c r="E247" s="25"/>
      <c r="F247" s="25"/>
      <c r="G247" s="568">
        <f>G254</f>
        <v>0</v>
      </c>
      <c r="H247" s="568">
        <f>H254</f>
        <v>235.5</v>
      </c>
      <c r="I247" s="568">
        <f>I254</f>
        <v>0</v>
      </c>
      <c r="J247" s="488">
        <f>J254+J248+J252</f>
        <v>483.22800000000001</v>
      </c>
      <c r="K247" s="488">
        <f t="shared" ref="K247:L247" si="75">K254+K248+K252</f>
        <v>1668.8309999999999</v>
      </c>
      <c r="L247" s="488">
        <f t="shared" si="75"/>
        <v>2152.0589999999997</v>
      </c>
      <c r="M247" s="570">
        <f>M254</f>
        <v>0</v>
      </c>
      <c r="N247" s="96">
        <f>N254</f>
        <v>950</v>
      </c>
    </row>
    <row r="248" spans="1:16" ht="33" customHeight="1">
      <c r="A248" s="603" t="s">
        <v>1151</v>
      </c>
      <c r="B248" s="26" t="s">
        <v>270</v>
      </c>
      <c r="C248" s="26" t="s">
        <v>26</v>
      </c>
      <c r="D248" s="26" t="s">
        <v>36</v>
      </c>
      <c r="E248" s="26" t="s">
        <v>1146</v>
      </c>
      <c r="F248" s="26"/>
      <c r="G248" s="147"/>
      <c r="H248" s="147"/>
      <c r="I248" s="147"/>
      <c r="J248" s="627">
        <f>J249+J250</f>
        <v>83.228000000000009</v>
      </c>
      <c r="K248" s="627">
        <f>K249+K250</f>
        <v>-50</v>
      </c>
      <c r="L248" s="627">
        <f>L249+L250</f>
        <v>33.228000000000002</v>
      </c>
      <c r="M248" s="42"/>
      <c r="N248" s="43"/>
    </row>
    <row r="249" spans="1:16" ht="62.25" customHeight="1">
      <c r="A249" s="111" t="s">
        <v>306</v>
      </c>
      <c r="B249" s="26" t="s">
        <v>270</v>
      </c>
      <c r="C249" s="26" t="s">
        <v>26</v>
      </c>
      <c r="D249" s="26" t="s">
        <v>36</v>
      </c>
      <c r="E249" s="26" t="s">
        <v>1147</v>
      </c>
      <c r="F249" s="26" t="s">
        <v>305</v>
      </c>
      <c r="G249" s="147"/>
      <c r="H249" s="147"/>
      <c r="I249" s="147"/>
      <c r="J249" s="627">
        <v>33.228000000000002</v>
      </c>
      <c r="K249" s="627"/>
      <c r="L249" s="627">
        <f>J249+K249</f>
        <v>33.228000000000002</v>
      </c>
      <c r="M249" s="42"/>
      <c r="N249" s="43"/>
    </row>
    <row r="250" spans="1:16" s="113" customFormat="1" ht="26.25">
      <c r="A250" s="603" t="s">
        <v>1151</v>
      </c>
      <c r="B250" s="26" t="s">
        <v>270</v>
      </c>
      <c r="C250" s="26" t="s">
        <v>26</v>
      </c>
      <c r="D250" s="26" t="s">
        <v>36</v>
      </c>
      <c r="E250" s="26" t="s">
        <v>307</v>
      </c>
      <c r="F250" s="26"/>
      <c r="G250" s="568"/>
      <c r="H250" s="568"/>
      <c r="I250" s="568"/>
      <c r="J250" s="627">
        <f>J251</f>
        <v>50</v>
      </c>
      <c r="K250" s="627">
        <f>K251</f>
        <v>-50</v>
      </c>
      <c r="L250" s="627">
        <f>L251</f>
        <v>0</v>
      </c>
      <c r="M250" s="570"/>
      <c r="N250" s="96"/>
    </row>
    <row r="251" spans="1:16" s="113" customFormat="1" ht="60">
      <c r="A251" s="62" t="s">
        <v>306</v>
      </c>
      <c r="B251" s="26" t="s">
        <v>270</v>
      </c>
      <c r="C251" s="26" t="s">
        <v>26</v>
      </c>
      <c r="D251" s="26" t="s">
        <v>36</v>
      </c>
      <c r="E251" s="26" t="s">
        <v>307</v>
      </c>
      <c r="F251" s="26" t="s">
        <v>305</v>
      </c>
      <c r="G251" s="568"/>
      <c r="H251" s="568"/>
      <c r="I251" s="568"/>
      <c r="J251" s="627">
        <v>50</v>
      </c>
      <c r="K251" s="627">
        <v>-50</v>
      </c>
      <c r="L251" s="627">
        <f>J251+K251</f>
        <v>0</v>
      </c>
      <c r="M251" s="570"/>
      <c r="N251" s="96"/>
      <c r="O251" s="125"/>
    </row>
    <row r="252" spans="1:16" s="113" customFormat="1" ht="60">
      <c r="A252" s="62" t="s">
        <v>1197</v>
      </c>
      <c r="B252" s="26" t="s">
        <v>270</v>
      </c>
      <c r="C252" s="26" t="s">
        <v>26</v>
      </c>
      <c r="D252" s="26" t="s">
        <v>36</v>
      </c>
      <c r="E252" s="26" t="s">
        <v>1196</v>
      </c>
      <c r="F252" s="26"/>
      <c r="G252" s="568"/>
      <c r="H252" s="568"/>
      <c r="I252" s="568"/>
      <c r="J252" s="627">
        <f>J253</f>
        <v>0</v>
      </c>
      <c r="K252" s="627">
        <f t="shared" ref="K252:L252" si="76">K253</f>
        <v>1168.8309999999999</v>
      </c>
      <c r="L252" s="627">
        <f t="shared" si="76"/>
        <v>1168.8309999999999</v>
      </c>
      <c r="M252" s="570"/>
      <c r="N252" s="96"/>
      <c r="O252" s="125"/>
    </row>
    <row r="253" spans="1:16" s="113" customFormat="1" ht="60">
      <c r="A253" s="62" t="s">
        <v>1197</v>
      </c>
      <c r="B253" s="26" t="s">
        <v>270</v>
      </c>
      <c r="C253" s="26" t="s">
        <v>26</v>
      </c>
      <c r="D253" s="26" t="s">
        <v>36</v>
      </c>
      <c r="E253" s="26" t="s">
        <v>1196</v>
      </c>
      <c r="F253" s="26" t="s">
        <v>305</v>
      </c>
      <c r="G253" s="568"/>
      <c r="H253" s="568"/>
      <c r="I253" s="568"/>
      <c r="J253" s="627"/>
      <c r="K253" s="627">
        <v>1168.8309999999999</v>
      </c>
      <c r="L253" s="627">
        <f>J253+K253</f>
        <v>1168.8309999999999</v>
      </c>
      <c r="M253" s="570"/>
      <c r="N253" s="96"/>
      <c r="O253" s="125"/>
    </row>
    <row r="254" spans="1:16" ht="39">
      <c r="A254" s="126" t="s">
        <v>308</v>
      </c>
      <c r="B254" s="127" t="s">
        <v>270</v>
      </c>
      <c r="C254" s="127" t="s">
        <v>26</v>
      </c>
      <c r="D254" s="127" t="s">
        <v>36</v>
      </c>
      <c r="E254" s="127" t="s">
        <v>309</v>
      </c>
      <c r="F254" s="127"/>
      <c r="G254" s="67">
        <f t="shared" ref="G254:N254" si="77">G255</f>
        <v>0</v>
      </c>
      <c r="H254" s="67">
        <f t="shared" si="77"/>
        <v>235.5</v>
      </c>
      <c r="I254" s="67">
        <f t="shared" si="77"/>
        <v>0</v>
      </c>
      <c r="J254" s="627">
        <f t="shared" si="77"/>
        <v>400</v>
      </c>
      <c r="K254" s="627">
        <f t="shared" si="77"/>
        <v>550</v>
      </c>
      <c r="L254" s="627">
        <f t="shared" si="77"/>
        <v>950</v>
      </c>
      <c r="M254" s="42">
        <f t="shared" si="77"/>
        <v>0</v>
      </c>
      <c r="N254" s="43">
        <f t="shared" si="77"/>
        <v>950</v>
      </c>
    </row>
    <row r="255" spans="1:16" ht="30">
      <c r="A255" s="116" t="s">
        <v>135</v>
      </c>
      <c r="B255" s="127" t="s">
        <v>270</v>
      </c>
      <c r="C255" s="127" t="s">
        <v>26</v>
      </c>
      <c r="D255" s="127" t="s">
        <v>36</v>
      </c>
      <c r="E255" s="127" t="s">
        <v>309</v>
      </c>
      <c r="F255" s="127" t="s">
        <v>133</v>
      </c>
      <c r="G255" s="67"/>
      <c r="H255" s="66">
        <v>235.5</v>
      </c>
      <c r="I255" s="67"/>
      <c r="J255" s="627">
        <v>400</v>
      </c>
      <c r="K255" s="627">
        <f>500+50</f>
        <v>550</v>
      </c>
      <c r="L255" s="627">
        <f>J255+K255</f>
        <v>950</v>
      </c>
      <c r="M255" s="42"/>
      <c r="N255" s="30">
        <f>L255+M255</f>
        <v>950</v>
      </c>
      <c r="O255" s="44">
        <v>400</v>
      </c>
    </row>
    <row r="256" spans="1:16" ht="29.25">
      <c r="A256" s="33" t="s">
        <v>310</v>
      </c>
      <c r="B256" s="128" t="s">
        <v>270</v>
      </c>
      <c r="C256" s="128" t="s">
        <v>28</v>
      </c>
      <c r="D256" s="128"/>
      <c r="E256" s="128"/>
      <c r="F256" s="128"/>
      <c r="G256" s="129"/>
      <c r="H256" s="129">
        <f>H262</f>
        <v>0</v>
      </c>
      <c r="I256" s="129">
        <f>I262</f>
        <v>31353.699999999997</v>
      </c>
      <c r="J256" s="381">
        <f>J262+J257</f>
        <v>1186</v>
      </c>
      <c r="K256" s="381">
        <f>K262+K257</f>
        <v>140</v>
      </c>
      <c r="L256" s="381">
        <f>L262+L257</f>
        <v>1326</v>
      </c>
      <c r="M256" s="142">
        <f>M262+M257</f>
        <v>0</v>
      </c>
      <c r="N256" s="130">
        <f>N262+N257</f>
        <v>620</v>
      </c>
    </row>
    <row r="257" spans="1:18">
      <c r="A257" s="109" t="s">
        <v>60</v>
      </c>
      <c r="B257" s="25" t="s">
        <v>270</v>
      </c>
      <c r="C257" s="25" t="s">
        <v>28</v>
      </c>
      <c r="D257" s="25" t="s">
        <v>22</v>
      </c>
      <c r="E257" s="25"/>
      <c r="F257" s="25"/>
      <c r="G257" s="132"/>
      <c r="H257" s="132"/>
      <c r="I257" s="132"/>
      <c r="J257" s="488">
        <f>J260+J258</f>
        <v>676</v>
      </c>
      <c r="K257" s="488">
        <f>K260+K258</f>
        <v>30</v>
      </c>
      <c r="L257" s="488">
        <f>L260+L258</f>
        <v>706</v>
      </c>
      <c r="M257" s="131"/>
      <c r="N257" s="58"/>
    </row>
    <row r="258" spans="1:18" ht="75">
      <c r="A258" s="110" t="s">
        <v>311</v>
      </c>
      <c r="B258" s="127" t="s">
        <v>270</v>
      </c>
      <c r="C258" s="127" t="s">
        <v>28</v>
      </c>
      <c r="D258" s="127" t="s">
        <v>22</v>
      </c>
      <c r="E258" s="127" t="s">
        <v>312</v>
      </c>
      <c r="F258" s="127"/>
      <c r="G258" s="134"/>
      <c r="H258" s="134">
        <f t="shared" ref="H258:N258" si="78">H259</f>
        <v>0</v>
      </c>
      <c r="I258" s="134">
        <f t="shared" si="78"/>
        <v>23145.3</v>
      </c>
      <c r="J258" s="627">
        <f t="shared" si="78"/>
        <v>370</v>
      </c>
      <c r="K258" s="627">
        <f t="shared" si="78"/>
        <v>30</v>
      </c>
      <c r="L258" s="627">
        <f t="shared" si="78"/>
        <v>400</v>
      </c>
      <c r="M258" s="133">
        <f t="shared" si="78"/>
        <v>0</v>
      </c>
      <c r="N258" s="43">
        <f t="shared" si="78"/>
        <v>400</v>
      </c>
    </row>
    <row r="259" spans="1:18">
      <c r="A259" s="110" t="s">
        <v>6</v>
      </c>
      <c r="B259" s="127" t="s">
        <v>270</v>
      </c>
      <c r="C259" s="127" t="s">
        <v>28</v>
      </c>
      <c r="D259" s="127" t="s">
        <v>22</v>
      </c>
      <c r="E259" s="127" t="s">
        <v>312</v>
      </c>
      <c r="F259" s="127" t="s">
        <v>313</v>
      </c>
      <c r="G259" s="134"/>
      <c r="H259" s="134"/>
      <c r="I259" s="134">
        <v>23145.3</v>
      </c>
      <c r="J259" s="627">
        <v>370</v>
      </c>
      <c r="K259" s="627">
        <f>30</f>
        <v>30</v>
      </c>
      <c r="L259" s="627">
        <f>J259+K259</f>
        <v>400</v>
      </c>
      <c r="M259" s="133"/>
      <c r="N259" s="58">
        <f>L259+M259</f>
        <v>400</v>
      </c>
      <c r="O259" s="11">
        <v>350</v>
      </c>
    </row>
    <row r="260" spans="1:18" ht="45">
      <c r="A260" s="116" t="s">
        <v>1035</v>
      </c>
      <c r="B260" s="26" t="s">
        <v>270</v>
      </c>
      <c r="C260" s="26" t="s">
        <v>28</v>
      </c>
      <c r="D260" s="26" t="s">
        <v>22</v>
      </c>
      <c r="E260" s="26" t="s">
        <v>1031</v>
      </c>
      <c r="F260" s="26"/>
      <c r="G260" s="185"/>
      <c r="H260" s="185"/>
      <c r="I260" s="185"/>
      <c r="J260" s="627">
        <f>J261</f>
        <v>306</v>
      </c>
      <c r="K260" s="627">
        <f>K261</f>
        <v>0</v>
      </c>
      <c r="L260" s="627">
        <f>L261</f>
        <v>306</v>
      </c>
      <c r="M260" s="131"/>
      <c r="N260" s="58"/>
    </row>
    <row r="261" spans="1:18">
      <c r="A261" s="110" t="s">
        <v>6</v>
      </c>
      <c r="B261" s="26" t="s">
        <v>270</v>
      </c>
      <c r="C261" s="26" t="s">
        <v>28</v>
      </c>
      <c r="D261" s="26" t="s">
        <v>22</v>
      </c>
      <c r="E261" s="26" t="s">
        <v>1031</v>
      </c>
      <c r="F261" s="26" t="s">
        <v>334</v>
      </c>
      <c r="G261" s="185"/>
      <c r="H261" s="185"/>
      <c r="I261" s="185"/>
      <c r="J261" s="627">
        <v>306</v>
      </c>
      <c r="K261" s="627"/>
      <c r="L261" s="627">
        <f>J261+K261</f>
        <v>306</v>
      </c>
      <c r="M261" s="131"/>
      <c r="N261" s="58"/>
    </row>
    <row r="262" spans="1:18">
      <c r="A262" s="24" t="s">
        <v>61</v>
      </c>
      <c r="B262" s="25" t="s">
        <v>270</v>
      </c>
      <c r="C262" s="25" t="s">
        <v>28</v>
      </c>
      <c r="D262" s="25" t="s">
        <v>24</v>
      </c>
      <c r="E262" s="25"/>
      <c r="F262" s="25"/>
      <c r="G262" s="132"/>
      <c r="H262" s="132">
        <f>H263+H265</f>
        <v>0</v>
      </c>
      <c r="I262" s="132">
        <f>I263+I265</f>
        <v>31353.699999999997</v>
      </c>
      <c r="J262" s="488">
        <f>J263+J265</f>
        <v>510</v>
      </c>
      <c r="K262" s="488">
        <f>K265+K263</f>
        <v>110</v>
      </c>
      <c r="L262" s="488">
        <f>L265+L263</f>
        <v>620</v>
      </c>
      <c r="M262" s="133">
        <f>M265+M263</f>
        <v>0</v>
      </c>
      <c r="N262" s="43">
        <f>N265+N263</f>
        <v>620</v>
      </c>
    </row>
    <row r="263" spans="1:18" ht="75">
      <c r="A263" s="110" t="s">
        <v>311</v>
      </c>
      <c r="B263" s="127" t="s">
        <v>270</v>
      </c>
      <c r="C263" s="127" t="s">
        <v>28</v>
      </c>
      <c r="D263" s="127" t="s">
        <v>24</v>
      </c>
      <c r="E263" s="127" t="s">
        <v>312</v>
      </c>
      <c r="F263" s="127"/>
      <c r="G263" s="134"/>
      <c r="H263" s="134">
        <f t="shared" ref="H263:N263" si="79">H264</f>
        <v>0</v>
      </c>
      <c r="I263" s="134">
        <f t="shared" si="79"/>
        <v>23145.3</v>
      </c>
      <c r="J263" s="627">
        <f t="shared" si="79"/>
        <v>510</v>
      </c>
      <c r="K263" s="627">
        <f t="shared" si="79"/>
        <v>110</v>
      </c>
      <c r="L263" s="627">
        <f t="shared" si="79"/>
        <v>620</v>
      </c>
      <c r="M263" s="133">
        <f t="shared" si="79"/>
        <v>0</v>
      </c>
      <c r="N263" s="43">
        <f t="shared" si="79"/>
        <v>620</v>
      </c>
    </row>
    <row r="264" spans="1:18">
      <c r="A264" s="110" t="s">
        <v>6</v>
      </c>
      <c r="B264" s="127" t="s">
        <v>270</v>
      </c>
      <c r="C264" s="127" t="s">
        <v>28</v>
      </c>
      <c r="D264" s="127" t="s">
        <v>24</v>
      </c>
      <c r="E264" s="127" t="s">
        <v>312</v>
      </c>
      <c r="F264" s="127" t="s">
        <v>313</v>
      </c>
      <c r="G264" s="134"/>
      <c r="H264" s="134"/>
      <c r="I264" s="134">
        <v>23145.3</v>
      </c>
      <c r="J264" s="627">
        <v>510</v>
      </c>
      <c r="K264" s="627">
        <f>70+40</f>
        <v>110</v>
      </c>
      <c r="L264" s="627">
        <f>J264+K264</f>
        <v>620</v>
      </c>
      <c r="M264" s="133"/>
      <c r="N264" s="58">
        <f>L264+M264</f>
        <v>620</v>
      </c>
      <c r="O264" s="11">
        <v>350</v>
      </c>
    </row>
    <row r="265" spans="1:18" ht="72.75" hidden="1" customHeight="1">
      <c r="A265" s="135" t="s">
        <v>314</v>
      </c>
      <c r="B265" s="136" t="s">
        <v>270</v>
      </c>
      <c r="C265" s="136" t="s">
        <v>28</v>
      </c>
      <c r="D265" s="136" t="s">
        <v>21</v>
      </c>
      <c r="E265" s="136" t="s">
        <v>315</v>
      </c>
      <c r="F265" s="136"/>
      <c r="G265" s="137"/>
      <c r="H265" s="137">
        <f t="shared" ref="H265:N265" si="80">H266</f>
        <v>0</v>
      </c>
      <c r="I265" s="137">
        <f t="shared" si="80"/>
        <v>8208.4</v>
      </c>
      <c r="J265" s="631">
        <f t="shared" si="80"/>
        <v>0</v>
      </c>
      <c r="K265" s="631">
        <f t="shared" si="80"/>
        <v>0</v>
      </c>
      <c r="L265" s="631">
        <f t="shared" si="80"/>
        <v>0</v>
      </c>
      <c r="M265" s="42">
        <f t="shared" si="80"/>
        <v>0</v>
      </c>
      <c r="N265" s="43">
        <f t="shared" si="80"/>
        <v>0</v>
      </c>
    </row>
    <row r="266" spans="1:18" ht="15.75" hidden="1" customHeight="1">
      <c r="A266" s="135" t="s">
        <v>316</v>
      </c>
      <c r="B266" s="136" t="s">
        <v>270</v>
      </c>
      <c r="C266" s="136" t="s">
        <v>28</v>
      </c>
      <c r="D266" s="136" t="s">
        <v>21</v>
      </c>
      <c r="E266" s="136" t="s">
        <v>317</v>
      </c>
      <c r="F266" s="136" t="s">
        <v>305</v>
      </c>
      <c r="G266" s="137"/>
      <c r="H266" s="137"/>
      <c r="I266" s="137">
        <v>8208.4</v>
      </c>
      <c r="J266" s="631"/>
      <c r="K266" s="631"/>
      <c r="L266" s="631">
        <f>J266+K266</f>
        <v>0</v>
      </c>
      <c r="M266" s="28"/>
      <c r="N266" s="58">
        <f>L266+M266</f>
        <v>0</v>
      </c>
    </row>
    <row r="267" spans="1:18">
      <c r="A267" s="138" t="s">
        <v>63</v>
      </c>
      <c r="B267" s="34" t="s">
        <v>270</v>
      </c>
      <c r="C267" s="34" t="s">
        <v>32</v>
      </c>
      <c r="D267" s="34"/>
      <c r="E267" s="34"/>
      <c r="F267" s="34"/>
      <c r="G267" s="585">
        <f t="shared" ref="G267:N270" si="81">G268</f>
        <v>-54.4</v>
      </c>
      <c r="H267" s="585">
        <f t="shared" si="81"/>
        <v>44.5</v>
      </c>
      <c r="I267" s="585">
        <f t="shared" si="81"/>
        <v>0</v>
      </c>
      <c r="J267" s="379">
        <f t="shared" si="81"/>
        <v>157.19999999999999</v>
      </c>
      <c r="K267" s="379">
        <f t="shared" si="81"/>
        <v>-41.6</v>
      </c>
      <c r="L267" s="379">
        <f t="shared" si="81"/>
        <v>115.6</v>
      </c>
      <c r="M267" s="40">
        <f t="shared" si="81"/>
        <v>0</v>
      </c>
      <c r="N267" s="41">
        <f t="shared" si="81"/>
        <v>26945.319</v>
      </c>
    </row>
    <row r="268" spans="1:18" s="113" customFormat="1" ht="28.5">
      <c r="A268" s="112" t="s">
        <v>318</v>
      </c>
      <c r="B268" s="25" t="s">
        <v>270</v>
      </c>
      <c r="C268" s="25" t="s">
        <v>32</v>
      </c>
      <c r="D268" s="25" t="s">
        <v>28</v>
      </c>
      <c r="E268" s="25"/>
      <c r="F268" s="25"/>
      <c r="G268" s="207">
        <f>G269+G284</f>
        <v>-54.4</v>
      </c>
      <c r="H268" s="207">
        <f>H269+H284</f>
        <v>44.5</v>
      </c>
      <c r="I268" s="207">
        <f>I269+I284</f>
        <v>0</v>
      </c>
      <c r="J268" s="488">
        <f>J269+J272</f>
        <v>157.19999999999999</v>
      </c>
      <c r="K268" s="488">
        <f>K269+K272</f>
        <v>-41.6</v>
      </c>
      <c r="L268" s="488">
        <f>L269+L272</f>
        <v>115.6</v>
      </c>
      <c r="M268" s="70">
        <f>M269+M284</f>
        <v>0</v>
      </c>
      <c r="N268" s="122">
        <f>N269+N284</f>
        <v>26945.319</v>
      </c>
    </row>
    <row r="269" spans="1:18" ht="30">
      <c r="A269" s="111" t="s">
        <v>128</v>
      </c>
      <c r="B269" s="26" t="s">
        <v>270</v>
      </c>
      <c r="C269" s="26" t="s">
        <v>32</v>
      </c>
      <c r="D269" s="26" t="s">
        <v>28</v>
      </c>
      <c r="E269" s="26" t="s">
        <v>129</v>
      </c>
      <c r="F269" s="26"/>
      <c r="G269" s="147">
        <f t="shared" si="81"/>
        <v>-54.4</v>
      </c>
      <c r="H269" s="147">
        <f t="shared" si="81"/>
        <v>44.5</v>
      </c>
      <c r="I269" s="147">
        <f t="shared" si="81"/>
        <v>0</v>
      </c>
      <c r="J269" s="627">
        <f t="shared" si="81"/>
        <v>41.6</v>
      </c>
      <c r="K269" s="627">
        <f t="shared" si="81"/>
        <v>-41.6</v>
      </c>
      <c r="L269" s="627">
        <f t="shared" si="81"/>
        <v>0</v>
      </c>
      <c r="M269" s="42">
        <f t="shared" si="81"/>
        <v>0</v>
      </c>
      <c r="N269" s="43">
        <f t="shared" si="81"/>
        <v>0</v>
      </c>
    </row>
    <row r="270" spans="1:18" ht="30">
      <c r="A270" s="139" t="s">
        <v>145</v>
      </c>
      <c r="B270" s="26" t="s">
        <v>270</v>
      </c>
      <c r="C270" s="26" t="s">
        <v>32</v>
      </c>
      <c r="D270" s="26" t="s">
        <v>28</v>
      </c>
      <c r="E270" s="26" t="s">
        <v>131</v>
      </c>
      <c r="F270" s="26"/>
      <c r="G270" s="147">
        <f t="shared" si="81"/>
        <v>-54.4</v>
      </c>
      <c r="H270" s="147">
        <f t="shared" si="81"/>
        <v>44.5</v>
      </c>
      <c r="I270" s="147">
        <f t="shared" si="81"/>
        <v>0</v>
      </c>
      <c r="J270" s="627">
        <f t="shared" si="81"/>
        <v>41.6</v>
      </c>
      <c r="K270" s="627">
        <f t="shared" si="81"/>
        <v>-41.6</v>
      </c>
      <c r="L270" s="627">
        <f t="shared" si="81"/>
        <v>0</v>
      </c>
      <c r="M270" s="42">
        <f t="shared" si="81"/>
        <v>0</v>
      </c>
      <c r="N270" s="43">
        <f t="shared" si="81"/>
        <v>0</v>
      </c>
    </row>
    <row r="271" spans="1:18" ht="30">
      <c r="A271" s="111" t="s">
        <v>141</v>
      </c>
      <c r="B271" s="26" t="s">
        <v>270</v>
      </c>
      <c r="C271" s="26" t="s">
        <v>32</v>
      </c>
      <c r="D271" s="26" t="s">
        <v>28</v>
      </c>
      <c r="E271" s="26" t="s">
        <v>131</v>
      </c>
      <c r="F271" s="26" t="s">
        <v>133</v>
      </c>
      <c r="G271" s="147">
        <f>-54.4</f>
        <v>-54.4</v>
      </c>
      <c r="H271" s="589">
        <v>44.5</v>
      </c>
      <c r="I271" s="147"/>
      <c r="J271" s="627">
        <v>41.6</v>
      </c>
      <c r="K271" s="627">
        <v>-41.6</v>
      </c>
      <c r="L271" s="627">
        <f>J271+K271</f>
        <v>0</v>
      </c>
      <c r="M271" s="42"/>
      <c r="N271" s="30">
        <f>L271+M271</f>
        <v>0</v>
      </c>
      <c r="O271" s="56">
        <v>41.6</v>
      </c>
      <c r="P271" s="140">
        <f>L271-O271</f>
        <v>-41.6</v>
      </c>
      <c r="R271" s="11" t="s">
        <v>319</v>
      </c>
    </row>
    <row r="272" spans="1:18" ht="27" customHeight="1">
      <c r="A272" s="110" t="s">
        <v>311</v>
      </c>
      <c r="B272" s="26" t="s">
        <v>270</v>
      </c>
      <c r="C272" s="26" t="s">
        <v>32</v>
      </c>
      <c r="D272" s="26" t="s">
        <v>28</v>
      </c>
      <c r="E272" s="26" t="s">
        <v>312</v>
      </c>
      <c r="F272" s="26"/>
      <c r="G272" s="147">
        <f t="shared" ref="G272:N272" si="82">G273</f>
        <v>0</v>
      </c>
      <c r="H272" s="147">
        <f t="shared" si="82"/>
        <v>3469.8</v>
      </c>
      <c r="I272" s="147">
        <f t="shared" si="82"/>
        <v>0</v>
      </c>
      <c r="J272" s="627">
        <f t="shared" si="82"/>
        <v>115.6</v>
      </c>
      <c r="K272" s="627">
        <f t="shared" si="82"/>
        <v>0</v>
      </c>
      <c r="L272" s="627">
        <f t="shared" si="82"/>
        <v>115.6</v>
      </c>
      <c r="M272" s="42">
        <f t="shared" si="82"/>
        <v>0</v>
      </c>
      <c r="N272" s="43">
        <f t="shared" si="82"/>
        <v>115.6</v>
      </c>
    </row>
    <row r="273" spans="1:16">
      <c r="A273" s="110" t="s">
        <v>6</v>
      </c>
      <c r="B273" s="26" t="s">
        <v>270</v>
      </c>
      <c r="C273" s="26" t="s">
        <v>32</v>
      </c>
      <c r="D273" s="26" t="s">
        <v>28</v>
      </c>
      <c r="E273" s="26" t="s">
        <v>312</v>
      </c>
      <c r="F273" s="26" t="s">
        <v>313</v>
      </c>
      <c r="G273" s="147"/>
      <c r="H273" s="589">
        <v>3469.8</v>
      </c>
      <c r="I273" s="147"/>
      <c r="J273" s="627">
        <f>115.6</f>
        <v>115.6</v>
      </c>
      <c r="K273" s="627"/>
      <c r="L273" s="627">
        <f>J273+K273</f>
        <v>115.6</v>
      </c>
      <c r="M273" s="42"/>
      <c r="N273" s="30">
        <f>L273+M273</f>
        <v>115.6</v>
      </c>
    </row>
    <row r="274" spans="1:16">
      <c r="A274" s="141" t="s">
        <v>320</v>
      </c>
      <c r="B274" s="128" t="s">
        <v>270</v>
      </c>
      <c r="C274" s="128" t="s">
        <v>53</v>
      </c>
      <c r="D274" s="128"/>
      <c r="E274" s="128"/>
      <c r="F274" s="128"/>
      <c r="G274" s="604"/>
      <c r="H274" s="605"/>
      <c r="I274" s="604"/>
      <c r="J274" s="381">
        <f t="shared" ref="J274:L276" si="83">J275</f>
        <v>476.37849999999997</v>
      </c>
      <c r="K274" s="381">
        <f t="shared" si="83"/>
        <v>0</v>
      </c>
      <c r="L274" s="381">
        <f t="shared" si="83"/>
        <v>476.37849999999997</v>
      </c>
      <c r="M274" s="42"/>
      <c r="N274" s="30"/>
      <c r="O274" s="56"/>
      <c r="P274" s="45"/>
    </row>
    <row r="275" spans="1:16">
      <c r="A275" s="109" t="s">
        <v>72</v>
      </c>
      <c r="B275" s="25" t="s">
        <v>270</v>
      </c>
      <c r="C275" s="25" t="s">
        <v>53</v>
      </c>
      <c r="D275" s="25" t="s">
        <v>21</v>
      </c>
      <c r="E275" s="25"/>
      <c r="F275" s="25"/>
      <c r="G275" s="568"/>
      <c r="H275" s="207"/>
      <c r="I275" s="568"/>
      <c r="J275" s="488">
        <f>J276+J278+J280</f>
        <v>476.37849999999997</v>
      </c>
      <c r="K275" s="488">
        <f>K276+K278+K280</f>
        <v>0</v>
      </c>
      <c r="L275" s="488">
        <f>L276+L278+L280</f>
        <v>476.37849999999997</v>
      </c>
      <c r="M275" s="42"/>
      <c r="N275" s="30"/>
      <c r="O275" s="56"/>
      <c r="P275" s="45"/>
    </row>
    <row r="276" spans="1:16" ht="75">
      <c r="A276" s="110" t="s">
        <v>311</v>
      </c>
      <c r="B276" s="26" t="s">
        <v>270</v>
      </c>
      <c r="C276" s="26" t="s">
        <v>53</v>
      </c>
      <c r="D276" s="26" t="s">
        <v>21</v>
      </c>
      <c r="E276" s="26" t="s">
        <v>312</v>
      </c>
      <c r="F276" s="26"/>
      <c r="G276" s="147"/>
      <c r="H276" s="589"/>
      <c r="I276" s="147"/>
      <c r="J276" s="627">
        <f t="shared" si="83"/>
        <v>476.37849999999997</v>
      </c>
      <c r="K276" s="627">
        <f t="shared" si="83"/>
        <v>0</v>
      </c>
      <c r="L276" s="627">
        <f t="shared" si="83"/>
        <v>476.37849999999997</v>
      </c>
      <c r="M276" s="42"/>
      <c r="N276" s="30"/>
      <c r="O276" s="56">
        <v>5201500</v>
      </c>
      <c r="P276" s="45"/>
    </row>
    <row r="277" spans="1:16">
      <c r="A277" s="110" t="s">
        <v>6</v>
      </c>
      <c r="B277" s="26" t="s">
        <v>270</v>
      </c>
      <c r="C277" s="26" t="s">
        <v>53</v>
      </c>
      <c r="D277" s="26" t="s">
        <v>21</v>
      </c>
      <c r="E277" s="26" t="s">
        <v>312</v>
      </c>
      <c r="F277" s="26" t="s">
        <v>313</v>
      </c>
      <c r="G277" s="147"/>
      <c r="H277" s="589"/>
      <c r="I277" s="147"/>
      <c r="J277" s="627">
        <f>476.3785</f>
        <v>476.37849999999997</v>
      </c>
      <c r="K277" s="627"/>
      <c r="L277" s="627">
        <f>J277+K277</f>
        <v>476.37849999999997</v>
      </c>
      <c r="M277" s="42"/>
      <c r="N277" s="30"/>
      <c r="O277" s="56"/>
      <c r="P277" s="45"/>
    </row>
    <row r="278" spans="1:16" ht="30" hidden="1">
      <c r="A278" s="143" t="s">
        <v>145</v>
      </c>
      <c r="B278" s="47" t="s">
        <v>270</v>
      </c>
      <c r="C278" s="47" t="s">
        <v>53</v>
      </c>
      <c r="D278" s="47" t="s">
        <v>21</v>
      </c>
      <c r="E278" s="47" t="s">
        <v>321</v>
      </c>
      <c r="F278" s="47"/>
      <c r="G278" s="147"/>
      <c r="H278" s="589"/>
      <c r="I278" s="147"/>
      <c r="J278" s="627">
        <f>J279</f>
        <v>0</v>
      </c>
      <c r="K278" s="627">
        <f>K279</f>
        <v>0</v>
      </c>
      <c r="L278" s="627">
        <f>L279</f>
        <v>0</v>
      </c>
      <c r="M278" s="42"/>
      <c r="N278" s="30"/>
      <c r="O278" s="56"/>
      <c r="P278" s="45">
        <f>K277+K279+K281-150</f>
        <v>-150</v>
      </c>
    </row>
    <row r="279" spans="1:16" ht="30" hidden="1">
      <c r="A279" s="143" t="s">
        <v>141</v>
      </c>
      <c r="B279" s="47" t="s">
        <v>270</v>
      </c>
      <c r="C279" s="47" t="s">
        <v>53</v>
      </c>
      <c r="D279" s="47" t="s">
        <v>21</v>
      </c>
      <c r="E279" s="47" t="s">
        <v>321</v>
      </c>
      <c r="F279" s="47" t="s">
        <v>313</v>
      </c>
      <c r="G279" s="147"/>
      <c r="H279" s="589"/>
      <c r="I279" s="147"/>
      <c r="J279" s="627"/>
      <c r="K279" s="627"/>
      <c r="L279" s="627">
        <f>J279+K279</f>
        <v>0</v>
      </c>
      <c r="M279" s="42"/>
      <c r="N279" s="30"/>
      <c r="O279" s="56"/>
      <c r="P279" s="45"/>
    </row>
    <row r="280" spans="1:16" ht="30" hidden="1">
      <c r="A280" s="143" t="s">
        <v>145</v>
      </c>
      <c r="B280" s="47" t="s">
        <v>270</v>
      </c>
      <c r="C280" s="47" t="s">
        <v>53</v>
      </c>
      <c r="D280" s="47" t="s">
        <v>21</v>
      </c>
      <c r="E280" s="47" t="s">
        <v>322</v>
      </c>
      <c r="F280" s="47"/>
      <c r="G280" s="147"/>
      <c r="H280" s="589"/>
      <c r="I280" s="147"/>
      <c r="J280" s="627">
        <f>J281</f>
        <v>0</v>
      </c>
      <c r="K280" s="627">
        <f>K281</f>
        <v>0</v>
      </c>
      <c r="L280" s="627">
        <f>L281</f>
        <v>0</v>
      </c>
      <c r="M280" s="42"/>
      <c r="N280" s="30"/>
      <c r="O280" s="56"/>
      <c r="P280" s="45"/>
    </row>
    <row r="281" spans="1:16" ht="30" hidden="1">
      <c r="A281" s="143" t="s">
        <v>141</v>
      </c>
      <c r="B281" s="47" t="s">
        <v>270</v>
      </c>
      <c r="C281" s="47" t="s">
        <v>53</v>
      </c>
      <c r="D281" s="47" t="s">
        <v>21</v>
      </c>
      <c r="E281" s="47" t="s">
        <v>322</v>
      </c>
      <c r="F281" s="47" t="s">
        <v>313</v>
      </c>
      <c r="G281" s="147"/>
      <c r="H281" s="589"/>
      <c r="I281" s="147"/>
      <c r="J281" s="627"/>
      <c r="K281" s="627"/>
      <c r="L281" s="627">
        <f>J281+K281</f>
        <v>0</v>
      </c>
      <c r="M281" s="42"/>
      <c r="N281" s="30"/>
      <c r="O281" s="56"/>
      <c r="P281" s="45">
        <f>K277+K279+K281-150</f>
        <v>-150</v>
      </c>
    </row>
    <row r="282" spans="1:16">
      <c r="A282" s="33" t="s">
        <v>136</v>
      </c>
      <c r="B282" s="34" t="s">
        <v>270</v>
      </c>
      <c r="C282" s="34" t="s">
        <v>47</v>
      </c>
      <c r="D282" s="26"/>
      <c r="E282" s="26"/>
      <c r="F282" s="26"/>
      <c r="G282" s="589" t="e">
        <f>G283+G300+G341+G324</f>
        <v>#REF!</v>
      </c>
      <c r="H282" s="589">
        <f>H283+H300+H341+H324</f>
        <v>40695.800000000003</v>
      </c>
      <c r="I282" s="589">
        <f>I283+I300+I341+I324</f>
        <v>0</v>
      </c>
      <c r="J282" s="627">
        <f t="shared" ref="J282:L284" si="84">J283</f>
        <v>26788.959999999999</v>
      </c>
      <c r="K282" s="627">
        <f t="shared" si="84"/>
        <v>156.35900000000001</v>
      </c>
      <c r="L282" s="627">
        <f t="shared" si="84"/>
        <v>26945.319</v>
      </c>
      <c r="M282" s="42"/>
      <c r="N282" s="30"/>
      <c r="O282" s="56"/>
    </row>
    <row r="283" spans="1:16" ht="29.25">
      <c r="A283" s="24" t="s">
        <v>78</v>
      </c>
      <c r="B283" s="25" t="s">
        <v>270</v>
      </c>
      <c r="C283" s="25" t="s">
        <v>47</v>
      </c>
      <c r="D283" s="25" t="s">
        <v>21</v>
      </c>
      <c r="E283" s="26"/>
      <c r="F283" s="26"/>
      <c r="G283" s="587">
        <f>G287+G291+G284</f>
        <v>528</v>
      </c>
      <c r="H283" s="587">
        <f>H287+H291+H284</f>
        <v>38359.800000000003</v>
      </c>
      <c r="I283" s="587">
        <f>I287+I291+I284</f>
        <v>0</v>
      </c>
      <c r="J283" s="379">
        <f t="shared" si="84"/>
        <v>26788.959999999999</v>
      </c>
      <c r="K283" s="379">
        <f t="shared" si="84"/>
        <v>156.35900000000001</v>
      </c>
      <c r="L283" s="379">
        <f t="shared" si="84"/>
        <v>26945.319</v>
      </c>
      <c r="M283" s="42"/>
      <c r="N283" s="30"/>
      <c r="O283" s="56"/>
    </row>
    <row r="284" spans="1:16" ht="58.5" customHeight="1">
      <c r="A284" s="144" t="s">
        <v>157</v>
      </c>
      <c r="B284" s="26" t="s">
        <v>270</v>
      </c>
      <c r="C284" s="26" t="s">
        <v>47</v>
      </c>
      <c r="D284" s="26" t="s">
        <v>21</v>
      </c>
      <c r="E284" s="26" t="s">
        <v>158</v>
      </c>
      <c r="F284" s="26"/>
      <c r="G284" s="147"/>
      <c r="H284" s="589"/>
      <c r="I284" s="147"/>
      <c r="J284" s="627">
        <f t="shared" si="84"/>
        <v>26788.959999999999</v>
      </c>
      <c r="K284" s="627">
        <f t="shared" si="84"/>
        <v>156.35900000000001</v>
      </c>
      <c r="L284" s="627">
        <f t="shared" si="84"/>
        <v>26945.319</v>
      </c>
      <c r="M284" s="29">
        <f>M285</f>
        <v>0</v>
      </c>
      <c r="N284" s="30">
        <f>N285</f>
        <v>26945.319</v>
      </c>
    </row>
    <row r="285" spans="1:16" ht="45.75" customHeight="1">
      <c r="A285" s="144" t="s">
        <v>159</v>
      </c>
      <c r="B285" s="26" t="s">
        <v>270</v>
      </c>
      <c r="C285" s="26" t="s">
        <v>47</v>
      </c>
      <c r="D285" s="26" t="s">
        <v>21</v>
      </c>
      <c r="E285" s="26" t="s">
        <v>158</v>
      </c>
      <c r="F285" s="26" t="s">
        <v>160</v>
      </c>
      <c r="G285" s="147"/>
      <c r="H285" s="589"/>
      <c r="I285" s="147"/>
      <c r="J285" s="627">
        <v>26788.959999999999</v>
      </c>
      <c r="K285" s="627">
        <v>156.35900000000001</v>
      </c>
      <c r="L285" s="627">
        <f>J285+K285</f>
        <v>26945.319</v>
      </c>
      <c r="M285" s="29"/>
      <c r="N285" s="30">
        <f>L285+M285</f>
        <v>26945.319</v>
      </c>
    </row>
    <row r="286" spans="1:16">
      <c r="A286" s="33" t="s">
        <v>82</v>
      </c>
      <c r="B286" s="34" t="s">
        <v>270</v>
      </c>
      <c r="C286" s="34" t="s">
        <v>34</v>
      </c>
      <c r="D286" s="34"/>
      <c r="E286" s="34"/>
      <c r="F286" s="34"/>
      <c r="G286" s="585" t="e">
        <f>G287+G292+G300+G305</f>
        <v>#REF!</v>
      </c>
      <c r="H286" s="585" t="e">
        <f>H287+H292+H300+H305</f>
        <v>#REF!</v>
      </c>
      <c r="I286" s="585" t="e">
        <f>I287+I292+I300+I305</f>
        <v>#REF!</v>
      </c>
      <c r="J286" s="379">
        <f>J287+J292+J300</f>
        <v>68.444000000000003</v>
      </c>
      <c r="K286" s="379">
        <f>K287+K292+K300</f>
        <v>11</v>
      </c>
      <c r="L286" s="379">
        <f>L287+L292+L300</f>
        <v>79.444000000000003</v>
      </c>
      <c r="M286" s="40" t="e">
        <f>M287+M292+M300+M305</f>
        <v>#REF!</v>
      </c>
      <c r="N286" s="41" t="e">
        <f>N287+N292+N300+N305</f>
        <v>#REF!</v>
      </c>
    </row>
    <row r="287" spans="1:16" s="113" customFormat="1" ht="14.25">
      <c r="A287" s="109" t="s">
        <v>323</v>
      </c>
      <c r="B287" s="25" t="s">
        <v>270</v>
      </c>
      <c r="C287" s="25" t="s">
        <v>34</v>
      </c>
      <c r="D287" s="25" t="s">
        <v>21</v>
      </c>
      <c r="E287" s="25"/>
      <c r="F287" s="25"/>
      <c r="G287" s="568">
        <f t="shared" ref="G287:M287" si="85">G288+G290</f>
        <v>264</v>
      </c>
      <c r="H287" s="568">
        <f t="shared" si="85"/>
        <v>20914.8</v>
      </c>
      <c r="I287" s="568">
        <f t="shared" si="85"/>
        <v>0</v>
      </c>
      <c r="J287" s="488">
        <f t="shared" si="85"/>
        <v>68.444000000000003</v>
      </c>
      <c r="K287" s="488">
        <f t="shared" si="85"/>
        <v>11</v>
      </c>
      <c r="L287" s="488">
        <f t="shared" si="85"/>
        <v>79.444000000000003</v>
      </c>
      <c r="M287" s="570">
        <f t="shared" si="85"/>
        <v>8.4</v>
      </c>
      <c r="N287" s="96">
        <f>N288+N290</f>
        <v>87.844000000000008</v>
      </c>
    </row>
    <row r="288" spans="1:16" ht="27" customHeight="1">
      <c r="A288" s="110" t="s">
        <v>311</v>
      </c>
      <c r="B288" s="26" t="s">
        <v>270</v>
      </c>
      <c r="C288" s="26" t="s">
        <v>34</v>
      </c>
      <c r="D288" s="26" t="s">
        <v>21</v>
      </c>
      <c r="E288" s="26" t="s">
        <v>312</v>
      </c>
      <c r="F288" s="26"/>
      <c r="G288" s="147">
        <f t="shared" ref="G288:N288" si="86">G289</f>
        <v>0</v>
      </c>
      <c r="H288" s="147">
        <f t="shared" si="86"/>
        <v>3469.8</v>
      </c>
      <c r="I288" s="147">
        <f t="shared" si="86"/>
        <v>0</v>
      </c>
      <c r="J288" s="627">
        <f t="shared" si="86"/>
        <v>68.444000000000003</v>
      </c>
      <c r="K288" s="627">
        <f t="shared" si="86"/>
        <v>11</v>
      </c>
      <c r="L288" s="627">
        <f t="shared" si="86"/>
        <v>79.444000000000003</v>
      </c>
      <c r="M288" s="42">
        <f t="shared" si="86"/>
        <v>0</v>
      </c>
      <c r="N288" s="43">
        <f t="shared" si="86"/>
        <v>79.444000000000003</v>
      </c>
    </row>
    <row r="289" spans="1:18">
      <c r="A289" s="110" t="s">
        <v>6</v>
      </c>
      <c r="B289" s="26" t="s">
        <v>270</v>
      </c>
      <c r="C289" s="26" t="s">
        <v>34</v>
      </c>
      <c r="D289" s="26" t="s">
        <v>21</v>
      </c>
      <c r="E289" s="26" t="s">
        <v>312</v>
      </c>
      <c r="F289" s="26" t="s">
        <v>313</v>
      </c>
      <c r="G289" s="147"/>
      <c r="H289" s="589">
        <v>3469.8</v>
      </c>
      <c r="I289" s="147"/>
      <c r="J289" s="627">
        <v>68.444000000000003</v>
      </c>
      <c r="K289" s="627">
        <v>11</v>
      </c>
      <c r="L289" s="627">
        <f>J289+K289</f>
        <v>79.444000000000003</v>
      </c>
      <c r="M289" s="42"/>
      <c r="N289" s="30">
        <f>L289+M289</f>
        <v>79.444000000000003</v>
      </c>
    </row>
    <row r="290" spans="1:18" ht="45" hidden="1">
      <c r="A290" s="111" t="s">
        <v>324</v>
      </c>
      <c r="B290" s="26" t="s">
        <v>270</v>
      </c>
      <c r="C290" s="26" t="s">
        <v>34</v>
      </c>
      <c r="D290" s="26" t="s">
        <v>21</v>
      </c>
      <c r="E290" s="26" t="s">
        <v>325</v>
      </c>
      <c r="F290" s="26"/>
      <c r="G290" s="147">
        <f t="shared" ref="G290:N290" si="87">G291</f>
        <v>264</v>
      </c>
      <c r="H290" s="147">
        <f t="shared" si="87"/>
        <v>17445</v>
      </c>
      <c r="I290" s="147">
        <f t="shared" si="87"/>
        <v>0</v>
      </c>
      <c r="J290" s="627">
        <f t="shared" si="87"/>
        <v>0</v>
      </c>
      <c r="K290" s="627">
        <f t="shared" si="87"/>
        <v>0</v>
      </c>
      <c r="L290" s="627">
        <f t="shared" si="87"/>
        <v>0</v>
      </c>
      <c r="M290" s="42">
        <f t="shared" si="87"/>
        <v>8.4</v>
      </c>
      <c r="N290" s="43">
        <f t="shared" si="87"/>
        <v>8.4</v>
      </c>
    </row>
    <row r="291" spans="1:18" hidden="1">
      <c r="A291" s="111" t="s">
        <v>326</v>
      </c>
      <c r="B291" s="26" t="s">
        <v>270</v>
      </c>
      <c r="C291" s="26" t="s">
        <v>34</v>
      </c>
      <c r="D291" s="26" t="s">
        <v>21</v>
      </c>
      <c r="E291" s="26" t="s">
        <v>325</v>
      </c>
      <c r="F291" s="26" t="s">
        <v>327</v>
      </c>
      <c r="G291" s="147">
        <v>264</v>
      </c>
      <c r="H291" s="589">
        <v>17445</v>
      </c>
      <c r="I291" s="147"/>
      <c r="J291" s="627"/>
      <c r="K291" s="627"/>
      <c r="L291" s="627">
        <f>J291+K291</f>
        <v>0</v>
      </c>
      <c r="M291" s="42">
        <f>8.4</f>
        <v>8.4</v>
      </c>
      <c r="N291" s="30">
        <f>L291+M291</f>
        <v>8.4</v>
      </c>
      <c r="O291" s="56"/>
    </row>
    <row r="292" spans="1:18" s="113" customFormat="1" ht="57" hidden="1">
      <c r="A292" s="145" t="s">
        <v>328</v>
      </c>
      <c r="B292" s="25" t="s">
        <v>270</v>
      </c>
      <c r="C292" s="25" t="s">
        <v>34</v>
      </c>
      <c r="D292" s="25" t="s">
        <v>22</v>
      </c>
      <c r="E292" s="25"/>
      <c r="F292" s="25"/>
      <c r="G292" s="568">
        <f t="shared" ref="G292:N292" si="88">G293</f>
        <v>0</v>
      </c>
      <c r="H292" s="568">
        <f t="shared" si="88"/>
        <v>9363.7999999999993</v>
      </c>
      <c r="I292" s="568">
        <f t="shared" si="88"/>
        <v>0</v>
      </c>
      <c r="J292" s="488">
        <f t="shared" si="88"/>
        <v>0</v>
      </c>
      <c r="K292" s="488">
        <f>K293</f>
        <v>0</v>
      </c>
      <c r="L292" s="488">
        <f t="shared" si="88"/>
        <v>0</v>
      </c>
      <c r="M292" s="570">
        <f t="shared" si="88"/>
        <v>-768</v>
      </c>
      <c r="N292" s="96">
        <f t="shared" si="88"/>
        <v>-768</v>
      </c>
    </row>
    <row r="293" spans="1:18" ht="105" hidden="1">
      <c r="A293" s="144" t="s">
        <v>329</v>
      </c>
      <c r="B293" s="26" t="s">
        <v>270</v>
      </c>
      <c r="C293" s="26" t="s">
        <v>34</v>
      </c>
      <c r="D293" s="26" t="s">
        <v>22</v>
      </c>
      <c r="E293" s="26" t="s">
        <v>330</v>
      </c>
      <c r="F293" s="26"/>
      <c r="G293" s="147">
        <f t="shared" ref="G293:M293" si="89">G296+G298+G294</f>
        <v>0</v>
      </c>
      <c r="H293" s="147">
        <f t="shared" si="89"/>
        <v>9363.7999999999993</v>
      </c>
      <c r="I293" s="147">
        <f t="shared" si="89"/>
        <v>0</v>
      </c>
      <c r="J293" s="627">
        <f t="shared" si="89"/>
        <v>0</v>
      </c>
      <c r="K293" s="627">
        <f t="shared" si="89"/>
        <v>0</v>
      </c>
      <c r="L293" s="627">
        <f t="shared" si="89"/>
        <v>0</v>
      </c>
      <c r="M293" s="42">
        <f t="shared" si="89"/>
        <v>-768</v>
      </c>
      <c r="N293" s="43">
        <f>N296+N298+N294</f>
        <v>-768</v>
      </c>
    </row>
    <row r="294" spans="1:18" ht="48" hidden="1" customHeight="1">
      <c r="A294" s="144" t="s">
        <v>331</v>
      </c>
      <c r="B294" s="26" t="s">
        <v>270</v>
      </c>
      <c r="C294" s="26" t="s">
        <v>34</v>
      </c>
      <c r="D294" s="26" t="s">
        <v>22</v>
      </c>
      <c r="E294" s="26" t="s">
        <v>332</v>
      </c>
      <c r="F294" s="26"/>
      <c r="G294" s="147">
        <f t="shared" ref="G294:N294" si="90">G295</f>
        <v>0</v>
      </c>
      <c r="H294" s="147">
        <f t="shared" si="90"/>
        <v>4300</v>
      </c>
      <c r="I294" s="147">
        <f t="shared" si="90"/>
        <v>0</v>
      </c>
      <c r="J294" s="627">
        <f t="shared" si="90"/>
        <v>0</v>
      </c>
      <c r="K294" s="627">
        <f>K295</f>
        <v>0</v>
      </c>
      <c r="L294" s="627">
        <f t="shared" si="90"/>
        <v>0</v>
      </c>
      <c r="M294" s="42">
        <f t="shared" si="90"/>
        <v>-768</v>
      </c>
      <c r="N294" s="43">
        <f t="shared" si="90"/>
        <v>-768</v>
      </c>
    </row>
    <row r="295" spans="1:18" ht="33" hidden="1" customHeight="1">
      <c r="A295" s="144" t="s">
        <v>333</v>
      </c>
      <c r="B295" s="26" t="s">
        <v>270</v>
      </c>
      <c r="C295" s="26" t="s">
        <v>34</v>
      </c>
      <c r="D295" s="26" t="s">
        <v>22</v>
      </c>
      <c r="E295" s="26" t="s">
        <v>332</v>
      </c>
      <c r="F295" s="26" t="s">
        <v>334</v>
      </c>
      <c r="G295" s="147"/>
      <c r="H295" s="589">
        <v>4300</v>
      </c>
      <c r="I295" s="147"/>
      <c r="J295" s="627"/>
      <c r="K295" s="627"/>
      <c r="L295" s="627">
        <f>J295+K295</f>
        <v>0</v>
      </c>
      <c r="M295" s="42">
        <f>-768</f>
        <v>-768</v>
      </c>
      <c r="N295" s="30">
        <f>L295+M295</f>
        <v>-768</v>
      </c>
      <c r="O295" s="44"/>
    </row>
    <row r="296" spans="1:18" ht="18.75" hidden="1" customHeight="1">
      <c r="A296" s="144" t="s">
        <v>335</v>
      </c>
      <c r="B296" s="26" t="s">
        <v>270</v>
      </c>
      <c r="C296" s="26" t="s">
        <v>34</v>
      </c>
      <c r="D296" s="26" t="s">
        <v>22</v>
      </c>
      <c r="E296" s="26" t="s">
        <v>336</v>
      </c>
      <c r="F296" s="26"/>
      <c r="G296" s="147">
        <f t="shared" ref="G296:N296" si="91">G297</f>
        <v>0</v>
      </c>
      <c r="H296" s="147">
        <f t="shared" si="91"/>
        <v>3301.5</v>
      </c>
      <c r="I296" s="147">
        <f t="shared" si="91"/>
        <v>0</v>
      </c>
      <c r="J296" s="627">
        <f t="shared" si="91"/>
        <v>0</v>
      </c>
      <c r="K296" s="627">
        <f t="shared" si="91"/>
        <v>0</v>
      </c>
      <c r="L296" s="627">
        <f t="shared" si="91"/>
        <v>0</v>
      </c>
      <c r="M296" s="42">
        <f t="shared" si="91"/>
        <v>0</v>
      </c>
      <c r="N296" s="43">
        <f t="shared" si="91"/>
        <v>0</v>
      </c>
    </row>
    <row r="297" spans="1:18" ht="23.25" hidden="1" customHeight="1">
      <c r="A297" s="144" t="s">
        <v>333</v>
      </c>
      <c r="B297" s="26" t="s">
        <v>270</v>
      </c>
      <c r="C297" s="26" t="s">
        <v>34</v>
      </c>
      <c r="D297" s="26" t="s">
        <v>22</v>
      </c>
      <c r="E297" s="26" t="s">
        <v>336</v>
      </c>
      <c r="F297" s="26" t="s">
        <v>334</v>
      </c>
      <c r="G297" s="147"/>
      <c r="H297" s="67">
        <v>3301.5</v>
      </c>
      <c r="I297" s="67"/>
      <c r="J297" s="627"/>
      <c r="K297" s="627"/>
      <c r="L297" s="627">
        <f>J297+K297</f>
        <v>0</v>
      </c>
      <c r="M297" s="42"/>
      <c r="N297" s="30">
        <f>L297+M297</f>
        <v>0</v>
      </c>
    </row>
    <row r="298" spans="1:18" ht="75" hidden="1">
      <c r="A298" s="144" t="s">
        <v>337</v>
      </c>
      <c r="B298" s="26" t="s">
        <v>270</v>
      </c>
      <c r="C298" s="26" t="s">
        <v>34</v>
      </c>
      <c r="D298" s="26" t="s">
        <v>22</v>
      </c>
      <c r="E298" s="26" t="s">
        <v>338</v>
      </c>
      <c r="F298" s="26"/>
      <c r="G298" s="147">
        <f t="shared" ref="G298:N298" si="92">G299</f>
        <v>0</v>
      </c>
      <c r="H298" s="147">
        <f t="shared" si="92"/>
        <v>1762.3</v>
      </c>
      <c r="I298" s="147">
        <f t="shared" si="92"/>
        <v>0</v>
      </c>
      <c r="J298" s="627">
        <f t="shared" si="92"/>
        <v>0</v>
      </c>
      <c r="K298" s="627">
        <f t="shared" si="92"/>
        <v>0</v>
      </c>
      <c r="L298" s="627">
        <f t="shared" si="92"/>
        <v>0</v>
      </c>
      <c r="M298" s="42">
        <f t="shared" si="92"/>
        <v>0</v>
      </c>
      <c r="N298" s="43">
        <f t="shared" si="92"/>
        <v>0</v>
      </c>
    </row>
    <row r="299" spans="1:18" hidden="1">
      <c r="A299" s="144" t="s">
        <v>333</v>
      </c>
      <c r="B299" s="26" t="s">
        <v>270</v>
      </c>
      <c r="C299" s="26" t="s">
        <v>34</v>
      </c>
      <c r="D299" s="26" t="s">
        <v>22</v>
      </c>
      <c r="E299" s="26" t="s">
        <v>338</v>
      </c>
      <c r="F299" s="26" t="s">
        <v>334</v>
      </c>
      <c r="G299" s="147"/>
      <c r="H299" s="67">
        <v>1762.3</v>
      </c>
      <c r="I299" s="67"/>
      <c r="J299" s="627"/>
      <c r="K299" s="627"/>
      <c r="L299" s="627">
        <f>J299+K299</f>
        <v>0</v>
      </c>
      <c r="M299" s="42"/>
      <c r="N299" s="30">
        <f>L299+M299</f>
        <v>0</v>
      </c>
    </row>
    <row r="300" spans="1:18" s="113" customFormat="1" ht="42.75" hidden="1">
      <c r="A300" s="145" t="s">
        <v>339</v>
      </c>
      <c r="B300" s="25" t="s">
        <v>270</v>
      </c>
      <c r="C300" s="25" t="s">
        <v>34</v>
      </c>
      <c r="D300" s="25" t="s">
        <v>24</v>
      </c>
      <c r="E300" s="25"/>
      <c r="F300" s="25"/>
      <c r="G300" s="568">
        <f t="shared" ref="G300:N301" si="93">G301</f>
        <v>42.8</v>
      </c>
      <c r="H300" s="568">
        <f t="shared" si="93"/>
        <v>573.70000000000005</v>
      </c>
      <c r="I300" s="568">
        <f t="shared" si="93"/>
        <v>0</v>
      </c>
      <c r="J300" s="488">
        <f t="shared" si="93"/>
        <v>0</v>
      </c>
      <c r="K300" s="488">
        <f t="shared" si="93"/>
        <v>0</v>
      </c>
      <c r="L300" s="488">
        <f t="shared" si="93"/>
        <v>0</v>
      </c>
      <c r="M300" s="570">
        <f t="shared" si="93"/>
        <v>0</v>
      </c>
      <c r="N300" s="96">
        <f t="shared" si="93"/>
        <v>0</v>
      </c>
      <c r="R300" s="146"/>
    </row>
    <row r="301" spans="1:18" ht="24.75" hidden="1" customHeight="1">
      <c r="A301" s="144" t="s">
        <v>340</v>
      </c>
      <c r="B301" s="26" t="s">
        <v>270</v>
      </c>
      <c r="C301" s="26" t="s">
        <v>34</v>
      </c>
      <c r="D301" s="26" t="s">
        <v>24</v>
      </c>
      <c r="E301" s="26" t="s">
        <v>295</v>
      </c>
      <c r="F301" s="26"/>
      <c r="G301" s="147">
        <f t="shared" si="93"/>
        <v>42.8</v>
      </c>
      <c r="H301" s="147">
        <f t="shared" si="93"/>
        <v>573.70000000000005</v>
      </c>
      <c r="I301" s="147">
        <f t="shared" si="93"/>
        <v>0</v>
      </c>
      <c r="J301" s="627">
        <f t="shared" si="93"/>
        <v>0</v>
      </c>
      <c r="K301" s="627">
        <f t="shared" si="93"/>
        <v>0</v>
      </c>
      <c r="L301" s="627">
        <f t="shared" si="93"/>
        <v>0</v>
      </c>
      <c r="M301" s="42">
        <f t="shared" si="93"/>
        <v>0</v>
      </c>
      <c r="N301" s="43">
        <f t="shared" si="93"/>
        <v>0</v>
      </c>
    </row>
    <row r="302" spans="1:18" ht="23.25" hidden="1" customHeight="1" thickBot="1">
      <c r="A302" s="144" t="s">
        <v>341</v>
      </c>
      <c r="B302" s="26" t="s">
        <v>270</v>
      </c>
      <c r="C302" s="26" t="s">
        <v>34</v>
      </c>
      <c r="D302" s="26" t="s">
        <v>24</v>
      </c>
      <c r="E302" s="26" t="s">
        <v>295</v>
      </c>
      <c r="F302" s="26" t="s">
        <v>297</v>
      </c>
      <c r="G302" s="147">
        <v>42.8</v>
      </c>
      <c r="H302" s="147">
        <v>573.70000000000005</v>
      </c>
      <c r="I302" s="147"/>
      <c r="J302" s="627"/>
      <c r="K302" s="627"/>
      <c r="L302" s="627">
        <f>J302+K302</f>
        <v>0</v>
      </c>
      <c r="M302" s="83"/>
      <c r="N302" s="49">
        <f>L302+M302</f>
        <v>0</v>
      </c>
      <c r="P302" s="15">
        <f>K302</f>
        <v>0</v>
      </c>
    </row>
    <row r="303" spans="1:18" ht="29.25">
      <c r="A303" s="148" t="s">
        <v>33</v>
      </c>
      <c r="B303" s="128" t="s">
        <v>270</v>
      </c>
      <c r="C303" s="128" t="s">
        <v>37</v>
      </c>
      <c r="D303" s="128"/>
      <c r="E303" s="149"/>
      <c r="F303" s="149"/>
      <c r="G303" s="606" t="e">
        <f>#REF!</f>
        <v>#REF!</v>
      </c>
      <c r="H303" s="607" t="e">
        <f>#REF!+H305</f>
        <v>#REF!</v>
      </c>
      <c r="I303" s="607" t="e">
        <f>#REF!+I305</f>
        <v>#REF!</v>
      </c>
      <c r="J303" s="381">
        <f>J305</f>
        <v>162.07</v>
      </c>
      <c r="K303" s="381">
        <f>K305</f>
        <v>0</v>
      </c>
      <c r="L303" s="381">
        <f>L305</f>
        <v>162.07</v>
      </c>
      <c r="M303" s="150"/>
      <c r="N303" s="49"/>
    </row>
    <row r="304" spans="1:18" ht="43.5">
      <c r="A304" s="145" t="s">
        <v>102</v>
      </c>
      <c r="B304" s="25" t="s">
        <v>270</v>
      </c>
      <c r="C304" s="25" t="s">
        <v>37</v>
      </c>
      <c r="D304" s="25" t="s">
        <v>21</v>
      </c>
      <c r="E304" s="26"/>
      <c r="F304" s="26"/>
      <c r="G304" s="147"/>
      <c r="H304" s="589"/>
      <c r="I304" s="589"/>
      <c r="J304" s="488">
        <f t="shared" ref="J304:L305" si="94">J305</f>
        <v>162.07</v>
      </c>
      <c r="K304" s="488">
        <f t="shared" si="94"/>
        <v>0</v>
      </c>
      <c r="L304" s="488">
        <f t="shared" si="94"/>
        <v>162.07</v>
      </c>
      <c r="M304" s="150"/>
      <c r="N304" s="49"/>
    </row>
    <row r="305" spans="1:16" ht="26.25" customHeight="1">
      <c r="A305" s="111" t="s">
        <v>283</v>
      </c>
      <c r="B305" s="26" t="s">
        <v>270</v>
      </c>
      <c r="C305" s="26" t="s">
        <v>37</v>
      </c>
      <c r="D305" s="26" t="s">
        <v>21</v>
      </c>
      <c r="E305" s="26" t="s">
        <v>284</v>
      </c>
      <c r="F305" s="26"/>
      <c r="G305" s="147" t="e">
        <f>#REF!</f>
        <v>#REF!</v>
      </c>
      <c r="H305" s="589" t="e">
        <f>#REF!+H306</f>
        <v>#REF!</v>
      </c>
      <c r="I305" s="589" t="e">
        <f>#REF!+I306</f>
        <v>#REF!</v>
      </c>
      <c r="J305" s="627">
        <f t="shared" si="94"/>
        <v>162.07</v>
      </c>
      <c r="K305" s="627">
        <f t="shared" si="94"/>
        <v>0</v>
      </c>
      <c r="L305" s="627">
        <f t="shared" si="94"/>
        <v>162.07</v>
      </c>
      <c r="M305" s="151" t="e">
        <f>#REF!+M306</f>
        <v>#REF!</v>
      </c>
      <c r="N305" s="30" t="e">
        <f>#REF!+N306</f>
        <v>#REF!</v>
      </c>
    </row>
    <row r="306" spans="1:16" ht="29.25" customHeight="1">
      <c r="A306" s="111" t="s">
        <v>285</v>
      </c>
      <c r="B306" s="26" t="s">
        <v>270</v>
      </c>
      <c r="C306" s="26" t="s">
        <v>37</v>
      </c>
      <c r="D306" s="26" t="s">
        <v>21</v>
      </c>
      <c r="E306" s="26" t="s">
        <v>286</v>
      </c>
      <c r="F306" s="26"/>
      <c r="G306" s="147"/>
      <c r="H306" s="589">
        <f t="shared" ref="H306:N306" si="95">H307</f>
        <v>0</v>
      </c>
      <c r="I306" s="589">
        <f t="shared" si="95"/>
        <v>0</v>
      </c>
      <c r="J306" s="627">
        <f t="shared" si="95"/>
        <v>162.07</v>
      </c>
      <c r="K306" s="627">
        <f t="shared" si="95"/>
        <v>0</v>
      </c>
      <c r="L306" s="627">
        <f t="shared" si="95"/>
        <v>162.07</v>
      </c>
      <c r="M306" s="29">
        <f t="shared" si="95"/>
        <v>0</v>
      </c>
      <c r="N306" s="30">
        <f t="shared" si="95"/>
        <v>162.07</v>
      </c>
    </row>
    <row r="307" spans="1:16" ht="15.75" customHeight="1">
      <c r="A307" s="111" t="s">
        <v>287</v>
      </c>
      <c r="B307" s="26" t="s">
        <v>270</v>
      </c>
      <c r="C307" s="26" t="s">
        <v>37</v>
      </c>
      <c r="D307" s="26" t="s">
        <v>21</v>
      </c>
      <c r="E307" s="26" t="s">
        <v>286</v>
      </c>
      <c r="F307" s="26" t="s">
        <v>288</v>
      </c>
      <c r="G307" s="147"/>
      <c r="H307" s="589"/>
      <c r="I307" s="147"/>
      <c r="J307" s="627">
        <v>162.07</v>
      </c>
      <c r="K307" s="627"/>
      <c r="L307" s="627">
        <f>J307+K307</f>
        <v>162.07</v>
      </c>
      <c r="M307" s="42"/>
      <c r="N307" s="30">
        <f>L307+M307</f>
        <v>162.07</v>
      </c>
      <c r="O307" s="11">
        <v>144.07</v>
      </c>
      <c r="P307" s="14">
        <f>L307-O307</f>
        <v>18</v>
      </c>
    </row>
    <row r="308" spans="1:16" ht="57.75" customHeight="1">
      <c r="A308" s="114" t="s">
        <v>342</v>
      </c>
      <c r="B308" s="34" t="s">
        <v>270</v>
      </c>
      <c r="C308" s="34" t="s">
        <v>39</v>
      </c>
      <c r="D308" s="34" t="s">
        <v>292</v>
      </c>
      <c r="E308" s="34"/>
      <c r="F308" s="34"/>
      <c r="G308" s="585"/>
      <c r="H308" s="587"/>
      <c r="I308" s="585"/>
      <c r="J308" s="379">
        <f>J309+J315+J317</f>
        <v>33917.271999999997</v>
      </c>
      <c r="K308" s="379">
        <f>K309+K315+K317</f>
        <v>783.726</v>
      </c>
      <c r="L308" s="379">
        <f>L309+L315+L317</f>
        <v>34700.998</v>
      </c>
      <c r="M308" s="42"/>
      <c r="N308" s="30"/>
    </row>
    <row r="309" spans="1:16" ht="54.75" customHeight="1">
      <c r="A309" s="145" t="s">
        <v>343</v>
      </c>
      <c r="B309" s="25" t="s">
        <v>270</v>
      </c>
      <c r="C309" s="25" t="s">
        <v>39</v>
      </c>
      <c r="D309" s="25" t="s">
        <v>21</v>
      </c>
      <c r="E309" s="25"/>
      <c r="F309" s="25"/>
      <c r="G309" s="568"/>
      <c r="H309" s="207"/>
      <c r="I309" s="568"/>
      <c r="J309" s="488">
        <f>J310</f>
        <v>25131.671999999999</v>
      </c>
      <c r="K309" s="488">
        <f>K310</f>
        <v>0</v>
      </c>
      <c r="L309" s="488">
        <f>L310</f>
        <v>25131.671999999999</v>
      </c>
      <c r="M309" s="42"/>
      <c r="N309" s="30"/>
    </row>
    <row r="310" spans="1:16" ht="27.75" customHeight="1">
      <c r="A310" s="62" t="s">
        <v>344</v>
      </c>
      <c r="B310" s="26" t="s">
        <v>270</v>
      </c>
      <c r="C310" s="26" t="s">
        <v>39</v>
      </c>
      <c r="D310" s="26" t="s">
        <v>21</v>
      </c>
      <c r="E310" s="127" t="s">
        <v>345</v>
      </c>
      <c r="F310" s="26"/>
      <c r="G310" s="147"/>
      <c r="H310" s="589"/>
      <c r="I310" s="147"/>
      <c r="J310" s="627">
        <f>J311+J313</f>
        <v>25131.671999999999</v>
      </c>
      <c r="K310" s="627">
        <f>K311+K313</f>
        <v>0</v>
      </c>
      <c r="L310" s="627">
        <f>J310+K310</f>
        <v>25131.671999999999</v>
      </c>
      <c r="M310" s="42"/>
      <c r="N310" s="30"/>
    </row>
    <row r="311" spans="1:16" ht="58.5" customHeight="1">
      <c r="A311" s="62" t="s">
        <v>346</v>
      </c>
      <c r="B311" s="26" t="s">
        <v>270</v>
      </c>
      <c r="C311" s="26" t="s">
        <v>39</v>
      </c>
      <c r="D311" s="26" t="s">
        <v>21</v>
      </c>
      <c r="E311" s="26" t="s">
        <v>347</v>
      </c>
      <c r="F311" s="26"/>
      <c r="G311" s="147"/>
      <c r="H311" s="589"/>
      <c r="I311" s="147"/>
      <c r="J311" s="627">
        <f>J312</f>
        <v>4269.5</v>
      </c>
      <c r="K311" s="627">
        <f>K312</f>
        <v>0</v>
      </c>
      <c r="L311" s="627">
        <f>L312</f>
        <v>4269.5</v>
      </c>
      <c r="M311" s="42"/>
      <c r="N311" s="30"/>
    </row>
    <row r="312" spans="1:16" ht="14.25" customHeight="1">
      <c r="A312" s="62" t="s">
        <v>348</v>
      </c>
      <c r="B312" s="26" t="s">
        <v>270</v>
      </c>
      <c r="C312" s="26" t="s">
        <v>39</v>
      </c>
      <c r="D312" s="26" t="s">
        <v>21</v>
      </c>
      <c r="E312" s="26" t="s">
        <v>347</v>
      </c>
      <c r="F312" s="26" t="s">
        <v>327</v>
      </c>
      <c r="G312" s="147"/>
      <c r="H312" s="589"/>
      <c r="I312" s="147"/>
      <c r="J312" s="627">
        <v>4269.5</v>
      </c>
      <c r="K312" s="627"/>
      <c r="L312" s="632">
        <f>J312+K312</f>
        <v>4269.5</v>
      </c>
      <c r="M312" s="42"/>
      <c r="N312" s="30"/>
    </row>
    <row r="313" spans="1:16" ht="57.75" customHeight="1">
      <c r="A313" s="62" t="s">
        <v>349</v>
      </c>
      <c r="B313" s="26" t="s">
        <v>270</v>
      </c>
      <c r="C313" s="26" t="s">
        <v>39</v>
      </c>
      <c r="D313" s="26" t="s">
        <v>21</v>
      </c>
      <c r="E313" s="26" t="s">
        <v>325</v>
      </c>
      <c r="F313" s="26"/>
      <c r="G313" s="147"/>
      <c r="H313" s="589"/>
      <c r="I313" s="147"/>
      <c r="J313" s="627">
        <f>J314</f>
        <v>20862.171999999999</v>
      </c>
      <c r="K313" s="627">
        <f>K314</f>
        <v>0</v>
      </c>
      <c r="L313" s="627">
        <f>L314</f>
        <v>20862.171999999999</v>
      </c>
      <c r="M313" s="42"/>
      <c r="N313" s="30"/>
    </row>
    <row r="314" spans="1:16" ht="16.5" customHeight="1">
      <c r="A314" s="62" t="s">
        <v>348</v>
      </c>
      <c r="B314" s="26" t="s">
        <v>270</v>
      </c>
      <c r="C314" s="26" t="s">
        <v>39</v>
      </c>
      <c r="D314" s="26" t="s">
        <v>21</v>
      </c>
      <c r="E314" s="26" t="s">
        <v>325</v>
      </c>
      <c r="F314" s="26" t="s">
        <v>327</v>
      </c>
      <c r="G314" s="147"/>
      <c r="H314" s="589"/>
      <c r="I314" s="147"/>
      <c r="J314" s="627">
        <v>20862.171999999999</v>
      </c>
      <c r="K314" s="627"/>
      <c r="L314" s="632">
        <f>J314+K314</f>
        <v>20862.171999999999</v>
      </c>
      <c r="M314" s="42"/>
      <c r="N314" s="30"/>
      <c r="O314" s="11">
        <v>20862.169999999998</v>
      </c>
      <c r="P314" s="45">
        <f>K314-O314</f>
        <v>-20862.169999999998</v>
      </c>
    </row>
    <row r="315" spans="1:16" ht="15" hidden="1" customHeight="1">
      <c r="A315" s="145" t="s">
        <v>106</v>
      </c>
      <c r="B315" s="25" t="s">
        <v>270</v>
      </c>
      <c r="C315" s="25" t="s">
        <v>39</v>
      </c>
      <c r="D315" s="25" t="s">
        <v>22</v>
      </c>
      <c r="E315" s="25"/>
      <c r="F315" s="25"/>
      <c r="G315" s="568"/>
      <c r="H315" s="207"/>
      <c r="I315" s="568"/>
      <c r="J315" s="488">
        <f>J316</f>
        <v>0</v>
      </c>
      <c r="K315" s="488">
        <f>K316</f>
        <v>0</v>
      </c>
      <c r="L315" s="488">
        <f>L316</f>
        <v>0</v>
      </c>
      <c r="M315" s="42"/>
      <c r="N315" s="30"/>
    </row>
    <row r="316" spans="1:16" ht="18" hidden="1" customHeight="1">
      <c r="A316" s="46" t="s">
        <v>106</v>
      </c>
      <c r="B316" s="47" t="s">
        <v>270</v>
      </c>
      <c r="C316" s="47" t="s">
        <v>39</v>
      </c>
      <c r="D316" s="47" t="s">
        <v>22</v>
      </c>
      <c r="E316" s="47" t="s">
        <v>350</v>
      </c>
      <c r="F316" s="47"/>
      <c r="G316" s="590"/>
      <c r="H316" s="591"/>
      <c r="I316" s="590"/>
      <c r="J316" s="628">
        <f>H316+I316</f>
        <v>0</v>
      </c>
      <c r="K316" s="628"/>
      <c r="L316" s="628">
        <f>J316+K316</f>
        <v>0</v>
      </c>
      <c r="M316" s="42"/>
      <c r="N316" s="30"/>
    </row>
    <row r="317" spans="1:16" ht="56.25" customHeight="1">
      <c r="A317" s="145" t="s">
        <v>107</v>
      </c>
      <c r="B317" s="25" t="s">
        <v>270</v>
      </c>
      <c r="C317" s="25" t="s">
        <v>39</v>
      </c>
      <c r="D317" s="25" t="s">
        <v>24</v>
      </c>
      <c r="E317" s="25"/>
      <c r="F317" s="25"/>
      <c r="G317" s="568"/>
      <c r="H317" s="207"/>
      <c r="I317" s="568"/>
      <c r="J317" s="488">
        <f>J320+J318</f>
        <v>8785.6</v>
      </c>
      <c r="K317" s="488">
        <f>K320+K318</f>
        <v>783.726</v>
      </c>
      <c r="L317" s="488">
        <f>J317+K317</f>
        <v>9569.3260000000009</v>
      </c>
      <c r="M317" s="42"/>
      <c r="N317" s="30"/>
    </row>
    <row r="318" spans="1:16" ht="75">
      <c r="A318" s="110" t="s">
        <v>311</v>
      </c>
      <c r="B318" s="26" t="s">
        <v>270</v>
      </c>
      <c r="C318" s="26" t="s">
        <v>39</v>
      </c>
      <c r="D318" s="26" t="s">
        <v>24</v>
      </c>
      <c r="E318" s="26" t="s">
        <v>312</v>
      </c>
      <c r="F318" s="26"/>
      <c r="G318" s="568"/>
      <c r="H318" s="207"/>
      <c r="I318" s="568"/>
      <c r="J318" s="627">
        <f>J319</f>
        <v>1083.5999999999999</v>
      </c>
      <c r="K318" s="627">
        <f>K319</f>
        <v>583.726</v>
      </c>
      <c r="L318" s="627">
        <f>L319</f>
        <v>1667.326</v>
      </c>
      <c r="M318" s="42"/>
      <c r="N318" s="30"/>
    </row>
    <row r="319" spans="1:16">
      <c r="A319" s="110" t="s">
        <v>6</v>
      </c>
      <c r="B319" s="26" t="s">
        <v>270</v>
      </c>
      <c r="C319" s="26" t="s">
        <v>39</v>
      </c>
      <c r="D319" s="26" t="s">
        <v>24</v>
      </c>
      <c r="E319" s="26" t="s">
        <v>312</v>
      </c>
      <c r="F319" s="26" t="s">
        <v>313</v>
      </c>
      <c r="G319" s="568"/>
      <c r="H319" s="207"/>
      <c r="I319" s="568"/>
      <c r="J319" s="627">
        <v>1083.5999999999999</v>
      </c>
      <c r="K319" s="627">
        <f>421.726+30+32+100</f>
        <v>583.726</v>
      </c>
      <c r="L319" s="627">
        <f>J319+K319</f>
        <v>1667.326</v>
      </c>
      <c r="M319" s="42"/>
      <c r="N319" s="30"/>
    </row>
    <row r="320" spans="1:16" ht="58.5" customHeight="1">
      <c r="A320" s="144" t="s">
        <v>329</v>
      </c>
      <c r="B320" s="127" t="s">
        <v>270</v>
      </c>
      <c r="C320" s="127" t="s">
        <v>39</v>
      </c>
      <c r="D320" s="127" t="s">
        <v>24</v>
      </c>
      <c r="E320" s="127" t="s">
        <v>330</v>
      </c>
      <c r="F320" s="608"/>
      <c r="G320" s="69"/>
      <c r="H320" s="68"/>
      <c r="I320" s="69"/>
      <c r="J320" s="627">
        <f>J323+J321</f>
        <v>7702</v>
      </c>
      <c r="K320" s="627">
        <f>K323+K321</f>
        <v>200</v>
      </c>
      <c r="L320" s="627">
        <f>L323+L321</f>
        <v>7902</v>
      </c>
      <c r="M320" s="42"/>
      <c r="N320" s="30"/>
    </row>
    <row r="321" spans="1:16" ht="42.75" customHeight="1">
      <c r="A321" s="144" t="s">
        <v>331</v>
      </c>
      <c r="B321" s="127" t="s">
        <v>270</v>
      </c>
      <c r="C321" s="127" t="s">
        <v>39</v>
      </c>
      <c r="D321" s="127" t="s">
        <v>24</v>
      </c>
      <c r="E321" s="127" t="s">
        <v>332</v>
      </c>
      <c r="F321" s="127"/>
      <c r="G321" s="67">
        <f t="shared" ref="G321:L321" si="96">G322</f>
        <v>0</v>
      </c>
      <c r="H321" s="67">
        <f t="shared" si="96"/>
        <v>4300</v>
      </c>
      <c r="I321" s="67">
        <f t="shared" si="96"/>
        <v>0</v>
      </c>
      <c r="J321" s="627">
        <f t="shared" si="96"/>
        <v>2088.1999999999998</v>
      </c>
      <c r="K321" s="627">
        <f>K322</f>
        <v>0</v>
      </c>
      <c r="L321" s="627">
        <f t="shared" si="96"/>
        <v>2088.1999999999998</v>
      </c>
      <c r="M321" s="150"/>
      <c r="N321" s="153"/>
    </row>
    <row r="322" spans="1:16" ht="15" customHeight="1">
      <c r="A322" s="144" t="s">
        <v>333</v>
      </c>
      <c r="B322" s="127" t="s">
        <v>270</v>
      </c>
      <c r="C322" s="127" t="s">
        <v>39</v>
      </c>
      <c r="D322" s="127" t="s">
        <v>24</v>
      </c>
      <c r="E322" s="127" t="s">
        <v>332</v>
      </c>
      <c r="F322" s="127" t="s">
        <v>334</v>
      </c>
      <c r="G322" s="67"/>
      <c r="H322" s="66">
        <v>4300</v>
      </c>
      <c r="I322" s="67"/>
      <c r="J322" s="627">
        <v>2088.1999999999998</v>
      </c>
      <c r="K322" s="627"/>
      <c r="L322" s="632">
        <f>J322+K322</f>
        <v>2088.1999999999998</v>
      </c>
      <c r="M322" s="150"/>
      <c r="N322" s="153"/>
    </row>
    <row r="323" spans="1:16" ht="57" customHeight="1">
      <c r="A323" s="144" t="s">
        <v>337</v>
      </c>
      <c r="B323" s="127" t="s">
        <v>270</v>
      </c>
      <c r="C323" s="127" t="s">
        <v>39</v>
      </c>
      <c r="D323" s="127" t="s">
        <v>24</v>
      </c>
      <c r="E323" s="127" t="s">
        <v>338</v>
      </c>
      <c r="F323" s="127"/>
      <c r="G323" s="69"/>
      <c r="H323" s="68"/>
      <c r="I323" s="69"/>
      <c r="J323" s="627">
        <f>J324</f>
        <v>5613.8</v>
      </c>
      <c r="K323" s="627">
        <f>K324</f>
        <v>200</v>
      </c>
      <c r="L323" s="627">
        <f>L324</f>
        <v>5813.8</v>
      </c>
      <c r="M323" s="150"/>
      <c r="N323" s="153"/>
    </row>
    <row r="324" spans="1:16" ht="18" customHeight="1">
      <c r="A324" s="144" t="s">
        <v>333</v>
      </c>
      <c r="B324" s="127" t="s">
        <v>270</v>
      </c>
      <c r="C324" s="127" t="s">
        <v>39</v>
      </c>
      <c r="D324" s="127" t="s">
        <v>24</v>
      </c>
      <c r="E324" s="127" t="s">
        <v>338</v>
      </c>
      <c r="F324" s="127" t="s">
        <v>334</v>
      </c>
      <c r="G324" s="67"/>
      <c r="H324" s="67">
        <v>1762.3</v>
      </c>
      <c r="I324" s="67"/>
      <c r="J324" s="627">
        <v>5613.8</v>
      </c>
      <c r="K324" s="627">
        <v>200</v>
      </c>
      <c r="L324" s="632">
        <f>J324+K324</f>
        <v>5813.8</v>
      </c>
      <c r="M324" s="150"/>
      <c r="N324" s="153"/>
    </row>
    <row r="325" spans="1:16" ht="30" thickBot="1">
      <c r="A325" s="594" t="s">
        <v>351</v>
      </c>
      <c r="B325" s="209" t="s">
        <v>352</v>
      </c>
      <c r="C325" s="209"/>
      <c r="D325" s="209"/>
      <c r="E325" s="209"/>
      <c r="F325" s="209"/>
      <c r="G325" s="211" t="e">
        <f t="shared" ref="G325:M325" si="97">G326+G337</f>
        <v>#REF!</v>
      </c>
      <c r="H325" s="211">
        <f t="shared" si="97"/>
        <v>42203.4</v>
      </c>
      <c r="I325" s="211">
        <f t="shared" si="97"/>
        <v>0</v>
      </c>
      <c r="J325" s="625">
        <f t="shared" si="97"/>
        <v>59688.523499999996</v>
      </c>
      <c r="K325" s="625">
        <f t="shared" si="97"/>
        <v>1764.143</v>
      </c>
      <c r="L325" s="625">
        <f t="shared" si="97"/>
        <v>61452.666499999999</v>
      </c>
      <c r="M325" s="89">
        <f t="shared" si="97"/>
        <v>135.5</v>
      </c>
      <c r="N325" s="90">
        <f>N326+N337</f>
        <v>47196.5435</v>
      </c>
    </row>
    <row r="326" spans="1:16" hidden="1">
      <c r="A326" s="609" t="s">
        <v>63</v>
      </c>
      <c r="B326" s="34" t="s">
        <v>352</v>
      </c>
      <c r="C326" s="34" t="s">
        <v>32</v>
      </c>
      <c r="D326" s="26"/>
      <c r="E326" s="26"/>
      <c r="F326" s="26"/>
      <c r="G326" s="585">
        <f t="shared" ref="G326:N329" si="98">G327</f>
        <v>0</v>
      </c>
      <c r="H326" s="587">
        <f t="shared" ref="H326:N326" si="99">H327+H333</f>
        <v>50</v>
      </c>
      <c r="I326" s="587">
        <f t="shared" si="99"/>
        <v>0</v>
      </c>
      <c r="J326" s="379">
        <f t="shared" si="99"/>
        <v>732.46749999999997</v>
      </c>
      <c r="K326" s="379">
        <f t="shared" si="99"/>
        <v>0</v>
      </c>
      <c r="L326" s="379">
        <f t="shared" si="99"/>
        <v>732.46749999999997</v>
      </c>
      <c r="M326" s="22">
        <f t="shared" si="99"/>
        <v>0</v>
      </c>
      <c r="N326" s="23">
        <f t="shared" si="99"/>
        <v>732.46749999999997</v>
      </c>
    </row>
    <row r="327" spans="1:16" s="113" customFormat="1" hidden="1">
      <c r="A327" s="154" t="s">
        <v>318</v>
      </c>
      <c r="B327" s="25" t="s">
        <v>352</v>
      </c>
      <c r="C327" s="25" t="s">
        <v>32</v>
      </c>
      <c r="D327" s="25" t="s">
        <v>28</v>
      </c>
      <c r="E327" s="25"/>
      <c r="F327" s="25"/>
      <c r="G327" s="207">
        <f t="shared" ref="G327:M327" si="100">G328+G331</f>
        <v>0</v>
      </c>
      <c r="H327" s="207">
        <f t="shared" si="100"/>
        <v>50</v>
      </c>
      <c r="I327" s="207">
        <f t="shared" si="100"/>
        <v>0</v>
      </c>
      <c r="J327" s="488">
        <f t="shared" si="100"/>
        <v>0</v>
      </c>
      <c r="K327" s="488">
        <f t="shared" si="100"/>
        <v>0</v>
      </c>
      <c r="L327" s="488">
        <f t="shared" si="100"/>
        <v>0</v>
      </c>
      <c r="M327" s="70">
        <f t="shared" si="100"/>
        <v>0</v>
      </c>
      <c r="N327" s="122">
        <f>N328+N331</f>
        <v>0</v>
      </c>
    </row>
    <row r="328" spans="1:16" ht="30" hidden="1">
      <c r="A328" s="144" t="s">
        <v>128</v>
      </c>
      <c r="B328" s="26" t="s">
        <v>352</v>
      </c>
      <c r="C328" s="26" t="s">
        <v>32</v>
      </c>
      <c r="D328" s="26" t="s">
        <v>28</v>
      </c>
      <c r="E328" s="26" t="s">
        <v>129</v>
      </c>
      <c r="F328" s="26"/>
      <c r="G328" s="147">
        <f t="shared" si="98"/>
        <v>-50</v>
      </c>
      <c r="H328" s="147">
        <f t="shared" si="98"/>
        <v>50</v>
      </c>
      <c r="I328" s="147">
        <f t="shared" si="98"/>
        <v>0</v>
      </c>
      <c r="J328" s="627">
        <f t="shared" si="98"/>
        <v>0</v>
      </c>
      <c r="K328" s="627">
        <f t="shared" si="98"/>
        <v>0</v>
      </c>
      <c r="L328" s="627">
        <f t="shared" si="98"/>
        <v>0</v>
      </c>
      <c r="M328" s="42">
        <f t="shared" si="98"/>
        <v>0</v>
      </c>
      <c r="N328" s="43">
        <f t="shared" si="98"/>
        <v>0</v>
      </c>
    </row>
    <row r="329" spans="1:16" ht="30" hidden="1">
      <c r="A329" s="144" t="s">
        <v>353</v>
      </c>
      <c r="B329" s="26" t="s">
        <v>352</v>
      </c>
      <c r="C329" s="26" t="s">
        <v>32</v>
      </c>
      <c r="D329" s="26" t="s">
        <v>28</v>
      </c>
      <c r="E329" s="26" t="s">
        <v>131</v>
      </c>
      <c r="F329" s="26"/>
      <c r="G329" s="147">
        <f t="shared" si="98"/>
        <v>-50</v>
      </c>
      <c r="H329" s="147">
        <f t="shared" si="98"/>
        <v>50</v>
      </c>
      <c r="I329" s="147">
        <f t="shared" si="98"/>
        <v>0</v>
      </c>
      <c r="J329" s="627">
        <f t="shared" si="98"/>
        <v>0</v>
      </c>
      <c r="K329" s="627">
        <f t="shared" si="98"/>
        <v>0</v>
      </c>
      <c r="L329" s="627">
        <f t="shared" si="98"/>
        <v>0</v>
      </c>
      <c r="M329" s="42">
        <f t="shared" si="98"/>
        <v>0</v>
      </c>
      <c r="N329" s="43">
        <f t="shared" si="98"/>
        <v>0</v>
      </c>
    </row>
    <row r="330" spans="1:16" ht="29.25" hidden="1" customHeight="1">
      <c r="A330" s="144" t="s">
        <v>141</v>
      </c>
      <c r="B330" s="26" t="s">
        <v>352</v>
      </c>
      <c r="C330" s="26" t="s">
        <v>32</v>
      </c>
      <c r="D330" s="26" t="s">
        <v>28</v>
      </c>
      <c r="E330" s="26" t="s">
        <v>131</v>
      </c>
      <c r="F330" s="26" t="s">
        <v>234</v>
      </c>
      <c r="G330" s="147">
        <v>-50</v>
      </c>
      <c r="H330" s="589">
        <v>50</v>
      </c>
      <c r="I330" s="147"/>
      <c r="J330" s="627"/>
      <c r="K330" s="627"/>
      <c r="L330" s="627">
        <f>J330+K330</f>
        <v>0</v>
      </c>
      <c r="M330" s="42"/>
      <c r="N330" s="30">
        <f>L330+M330</f>
        <v>0</v>
      </c>
    </row>
    <row r="331" spans="1:16" ht="27" hidden="1" customHeight="1">
      <c r="A331" s="31" t="s">
        <v>130</v>
      </c>
      <c r="B331" s="26" t="s">
        <v>352</v>
      </c>
      <c r="C331" s="26" t="s">
        <v>32</v>
      </c>
      <c r="D331" s="26" t="s">
        <v>28</v>
      </c>
      <c r="E331" s="26" t="s">
        <v>134</v>
      </c>
      <c r="F331" s="26"/>
      <c r="G331" s="589">
        <f t="shared" ref="G331:N331" si="101">G332</f>
        <v>50</v>
      </c>
      <c r="H331" s="589">
        <f t="shared" si="101"/>
        <v>0</v>
      </c>
      <c r="I331" s="589">
        <f t="shared" si="101"/>
        <v>0</v>
      </c>
      <c r="J331" s="627">
        <f t="shared" si="101"/>
        <v>0</v>
      </c>
      <c r="K331" s="627">
        <f t="shared" si="101"/>
        <v>0</v>
      </c>
      <c r="L331" s="627">
        <f t="shared" si="101"/>
        <v>0</v>
      </c>
      <c r="M331" s="29">
        <f t="shared" si="101"/>
        <v>0</v>
      </c>
      <c r="N331" s="30">
        <f t="shared" si="101"/>
        <v>0</v>
      </c>
    </row>
    <row r="332" spans="1:16" ht="26.25" hidden="1" customHeight="1">
      <c r="A332" s="31" t="s">
        <v>135</v>
      </c>
      <c r="B332" s="26" t="s">
        <v>352</v>
      </c>
      <c r="C332" s="26" t="s">
        <v>32</v>
      </c>
      <c r="D332" s="26" t="s">
        <v>28</v>
      </c>
      <c r="E332" s="26" t="s">
        <v>134</v>
      </c>
      <c r="F332" s="26" t="s">
        <v>133</v>
      </c>
      <c r="G332" s="589">
        <v>50</v>
      </c>
      <c r="H332" s="589"/>
      <c r="I332" s="589"/>
      <c r="J332" s="627">
        <f>H332+I332</f>
        <v>0</v>
      </c>
      <c r="K332" s="627"/>
      <c r="L332" s="627">
        <f>J332+K332</f>
        <v>0</v>
      </c>
      <c r="M332" s="29"/>
      <c r="N332" s="30">
        <f>L332+M332</f>
        <v>0</v>
      </c>
    </row>
    <row r="333" spans="1:16" ht="28.5" customHeight="1">
      <c r="A333" s="24" t="s">
        <v>68</v>
      </c>
      <c r="B333" s="25" t="s">
        <v>352</v>
      </c>
      <c r="C333" s="25" t="s">
        <v>32</v>
      </c>
      <c r="D333" s="25" t="s">
        <v>32</v>
      </c>
      <c r="E333" s="25"/>
      <c r="F333" s="25"/>
      <c r="G333" s="568" t="e">
        <f t="shared" ref="G333:N335" si="102">G334</f>
        <v>#REF!</v>
      </c>
      <c r="H333" s="568">
        <f t="shared" si="102"/>
        <v>0</v>
      </c>
      <c r="I333" s="568">
        <f t="shared" si="102"/>
        <v>0</v>
      </c>
      <c r="J333" s="488">
        <f t="shared" si="102"/>
        <v>732.46749999999997</v>
      </c>
      <c r="K333" s="488">
        <f t="shared" si="102"/>
        <v>0</v>
      </c>
      <c r="L333" s="488">
        <f t="shared" si="102"/>
        <v>732.46749999999997</v>
      </c>
      <c r="M333" s="570">
        <f t="shared" si="102"/>
        <v>0</v>
      </c>
      <c r="N333" s="96">
        <f t="shared" si="102"/>
        <v>732.46749999999997</v>
      </c>
    </row>
    <row r="334" spans="1:16" ht="30" customHeight="1">
      <c r="A334" s="31" t="s">
        <v>228</v>
      </c>
      <c r="B334" s="26" t="s">
        <v>352</v>
      </c>
      <c r="C334" s="26" t="s">
        <v>32</v>
      </c>
      <c r="D334" s="26" t="s">
        <v>32</v>
      </c>
      <c r="E334" s="26" t="s">
        <v>229</v>
      </c>
      <c r="F334" s="26"/>
      <c r="G334" s="147" t="e">
        <f t="shared" si="102"/>
        <v>#REF!</v>
      </c>
      <c r="H334" s="147">
        <f t="shared" si="102"/>
        <v>0</v>
      </c>
      <c r="I334" s="147">
        <f t="shared" si="102"/>
        <v>0</v>
      </c>
      <c r="J334" s="627">
        <f t="shared" si="102"/>
        <v>732.46749999999997</v>
      </c>
      <c r="K334" s="627">
        <f t="shared" si="102"/>
        <v>0</v>
      </c>
      <c r="L334" s="627">
        <f t="shared" si="102"/>
        <v>732.46749999999997</v>
      </c>
      <c r="M334" s="42">
        <f t="shared" si="102"/>
        <v>0</v>
      </c>
      <c r="N334" s="43">
        <f t="shared" si="102"/>
        <v>732.46749999999997</v>
      </c>
    </row>
    <row r="335" spans="1:16" ht="15" customHeight="1">
      <c r="A335" s="31" t="s">
        <v>230</v>
      </c>
      <c r="B335" s="26" t="s">
        <v>352</v>
      </c>
      <c r="C335" s="26" t="s">
        <v>32</v>
      </c>
      <c r="D335" s="26" t="s">
        <v>32</v>
      </c>
      <c r="E335" s="26" t="s">
        <v>231</v>
      </c>
      <c r="F335" s="26"/>
      <c r="G335" s="147" t="e">
        <f>G336+#REF!</f>
        <v>#REF!</v>
      </c>
      <c r="H335" s="589">
        <f t="shared" si="102"/>
        <v>0</v>
      </c>
      <c r="I335" s="147">
        <f t="shared" si="102"/>
        <v>0</v>
      </c>
      <c r="J335" s="627">
        <f t="shared" si="102"/>
        <v>732.46749999999997</v>
      </c>
      <c r="K335" s="627">
        <f t="shared" si="102"/>
        <v>0</v>
      </c>
      <c r="L335" s="627">
        <f t="shared" si="102"/>
        <v>732.46749999999997</v>
      </c>
      <c r="M335" s="42">
        <f t="shared" si="102"/>
        <v>0</v>
      </c>
      <c r="N335" s="43">
        <f t="shared" si="102"/>
        <v>732.46749999999997</v>
      </c>
    </row>
    <row r="336" spans="1:16" ht="27.75" customHeight="1">
      <c r="A336" s="31" t="s">
        <v>152</v>
      </c>
      <c r="B336" s="26" t="s">
        <v>352</v>
      </c>
      <c r="C336" s="26" t="s">
        <v>32</v>
      </c>
      <c r="D336" s="26" t="s">
        <v>32</v>
      </c>
      <c r="E336" s="26" t="s">
        <v>231</v>
      </c>
      <c r="F336" s="26" t="s">
        <v>142</v>
      </c>
      <c r="G336" s="147">
        <v>321</v>
      </c>
      <c r="H336" s="589"/>
      <c r="I336" s="147"/>
      <c r="J336" s="627">
        <v>732.46749999999997</v>
      </c>
      <c r="K336" s="627"/>
      <c r="L336" s="627">
        <f>J336+K336</f>
        <v>732.46749999999997</v>
      </c>
      <c r="M336" s="42"/>
      <c r="N336" s="30">
        <f>L336+M336</f>
        <v>732.46749999999997</v>
      </c>
      <c r="O336" s="11">
        <v>1699</v>
      </c>
      <c r="P336" s="15">
        <f>K336</f>
        <v>0</v>
      </c>
    </row>
    <row r="337" spans="1:16">
      <c r="A337" s="141" t="s">
        <v>86</v>
      </c>
      <c r="B337" s="34" t="s">
        <v>352</v>
      </c>
      <c r="C337" s="34" t="s">
        <v>85</v>
      </c>
      <c r="D337" s="34"/>
      <c r="E337" s="34"/>
      <c r="F337" s="34"/>
      <c r="G337" s="588" t="e">
        <f t="shared" ref="G337:M337" si="103">G338+G345+G355+G407</f>
        <v>#REF!</v>
      </c>
      <c r="H337" s="588">
        <f t="shared" si="103"/>
        <v>42153.4</v>
      </c>
      <c r="I337" s="588">
        <f t="shared" si="103"/>
        <v>0</v>
      </c>
      <c r="J337" s="379">
        <f t="shared" si="103"/>
        <v>58956.055999999997</v>
      </c>
      <c r="K337" s="379">
        <f t="shared" si="103"/>
        <v>1764.143</v>
      </c>
      <c r="L337" s="379">
        <f t="shared" si="103"/>
        <v>60720.199000000001</v>
      </c>
      <c r="M337" s="36">
        <f t="shared" si="103"/>
        <v>135.5</v>
      </c>
      <c r="N337" s="94">
        <f>N338+N345+N355+N407</f>
        <v>46464.076000000001</v>
      </c>
    </row>
    <row r="338" spans="1:16">
      <c r="A338" s="110" t="s">
        <v>88</v>
      </c>
      <c r="B338" s="25" t="s">
        <v>352</v>
      </c>
      <c r="C338" s="25" t="s">
        <v>85</v>
      </c>
      <c r="D338" s="25" t="s">
        <v>21</v>
      </c>
      <c r="E338" s="25"/>
      <c r="F338" s="25"/>
      <c r="G338" s="568" t="e">
        <f t="shared" ref="G338:M338" si="104">G339+G341</f>
        <v>#REF!</v>
      </c>
      <c r="H338" s="207">
        <f t="shared" si="104"/>
        <v>1925.2</v>
      </c>
      <c r="I338" s="568">
        <f t="shared" si="104"/>
        <v>0</v>
      </c>
      <c r="J338" s="488">
        <f>J339+J341+J343</f>
        <v>1593.18</v>
      </c>
      <c r="K338" s="488">
        <f>K339+K341+K343</f>
        <v>0</v>
      </c>
      <c r="L338" s="488">
        <f>L339+L341+L343</f>
        <v>1593.18</v>
      </c>
      <c r="M338" s="570">
        <f t="shared" si="104"/>
        <v>0</v>
      </c>
      <c r="N338" s="122">
        <f>N339+N341</f>
        <v>83.18</v>
      </c>
    </row>
    <row r="339" spans="1:16" ht="75" hidden="1">
      <c r="A339" s="110" t="s">
        <v>354</v>
      </c>
      <c r="B339" s="26" t="s">
        <v>352</v>
      </c>
      <c r="C339" s="26" t="s">
        <v>85</v>
      </c>
      <c r="D339" s="26" t="s">
        <v>21</v>
      </c>
      <c r="E339" s="26" t="s">
        <v>355</v>
      </c>
      <c r="F339" s="26"/>
      <c r="G339" s="147">
        <f t="shared" ref="G339:N339" si="105">G340</f>
        <v>-227</v>
      </c>
      <c r="H339" s="147">
        <f t="shared" si="105"/>
        <v>1925.2</v>
      </c>
      <c r="I339" s="147">
        <f t="shared" si="105"/>
        <v>0</v>
      </c>
      <c r="J339" s="627">
        <f t="shared" si="105"/>
        <v>0</v>
      </c>
      <c r="K339" s="627">
        <f t="shared" si="105"/>
        <v>0</v>
      </c>
      <c r="L339" s="627">
        <f t="shared" si="105"/>
        <v>0</v>
      </c>
      <c r="M339" s="42">
        <f t="shared" si="105"/>
        <v>0</v>
      </c>
      <c r="N339" s="43">
        <f t="shared" si="105"/>
        <v>0</v>
      </c>
    </row>
    <row r="340" spans="1:16" hidden="1">
      <c r="A340" s="110" t="s">
        <v>243</v>
      </c>
      <c r="B340" s="26" t="s">
        <v>352</v>
      </c>
      <c r="C340" s="26" t="s">
        <v>85</v>
      </c>
      <c r="D340" s="26" t="s">
        <v>21</v>
      </c>
      <c r="E340" s="26" t="s">
        <v>355</v>
      </c>
      <c r="F340" s="26" t="s">
        <v>244</v>
      </c>
      <c r="G340" s="147">
        <f>-227</f>
        <v>-227</v>
      </c>
      <c r="H340" s="589">
        <v>1925.2</v>
      </c>
      <c r="I340" s="147"/>
      <c r="J340" s="627"/>
      <c r="K340" s="627"/>
      <c r="L340" s="627">
        <f>J340+K340</f>
        <v>0</v>
      </c>
      <c r="M340" s="42"/>
      <c r="N340" s="30">
        <f>L340+M340</f>
        <v>0</v>
      </c>
    </row>
    <row r="341" spans="1:16" ht="60">
      <c r="A341" s="110" t="s">
        <v>356</v>
      </c>
      <c r="B341" s="26" t="s">
        <v>352</v>
      </c>
      <c r="C341" s="26" t="s">
        <v>85</v>
      </c>
      <c r="D341" s="26" t="s">
        <v>21</v>
      </c>
      <c r="E341" s="26" t="s">
        <v>357</v>
      </c>
      <c r="F341" s="26"/>
      <c r="G341" s="147" t="e">
        <f t="shared" ref="G341:N341" si="106">G342</f>
        <v>#REF!</v>
      </c>
      <c r="H341" s="589">
        <f t="shared" si="106"/>
        <v>0</v>
      </c>
      <c r="I341" s="147">
        <f t="shared" si="106"/>
        <v>0</v>
      </c>
      <c r="J341" s="627">
        <f t="shared" si="106"/>
        <v>83.18</v>
      </c>
      <c r="K341" s="627">
        <f t="shared" si="106"/>
        <v>0</v>
      </c>
      <c r="L341" s="627">
        <f t="shared" si="106"/>
        <v>83.18</v>
      </c>
      <c r="M341" s="42">
        <f t="shared" si="106"/>
        <v>0</v>
      </c>
      <c r="N341" s="30">
        <f t="shared" si="106"/>
        <v>83.18</v>
      </c>
    </row>
    <row r="342" spans="1:16">
      <c r="A342" s="110" t="s">
        <v>243</v>
      </c>
      <c r="B342" s="26" t="s">
        <v>352</v>
      </c>
      <c r="C342" s="26" t="s">
        <v>85</v>
      </c>
      <c r="D342" s="26" t="s">
        <v>21</v>
      </c>
      <c r="E342" s="26" t="s">
        <v>357</v>
      </c>
      <c r="F342" s="26" t="s">
        <v>244</v>
      </c>
      <c r="G342" s="589" t="e">
        <f>H342-#REF!</f>
        <v>#REF!</v>
      </c>
      <c r="H342" s="589"/>
      <c r="I342" s="589"/>
      <c r="J342" s="627">
        <v>83.18</v>
      </c>
      <c r="K342" s="627"/>
      <c r="L342" s="627">
        <f>J342+K342</f>
        <v>83.18</v>
      </c>
      <c r="M342" s="29"/>
      <c r="N342" s="30">
        <f>L342+M342</f>
        <v>83.18</v>
      </c>
      <c r="O342" s="44">
        <v>83.18</v>
      </c>
      <c r="P342" s="14">
        <f>L342-O342</f>
        <v>0</v>
      </c>
    </row>
    <row r="343" spans="1:16" ht="75">
      <c r="A343" s="110" t="s">
        <v>354</v>
      </c>
      <c r="B343" s="26" t="s">
        <v>352</v>
      </c>
      <c r="C343" s="26" t="s">
        <v>85</v>
      </c>
      <c r="D343" s="26" t="s">
        <v>21</v>
      </c>
      <c r="E343" s="26" t="s">
        <v>358</v>
      </c>
      <c r="F343" s="26"/>
      <c r="G343" s="589"/>
      <c r="H343" s="589"/>
      <c r="I343" s="589"/>
      <c r="J343" s="627">
        <f>J344</f>
        <v>1510</v>
      </c>
      <c r="K343" s="627">
        <f>K344</f>
        <v>0</v>
      </c>
      <c r="L343" s="627">
        <f>L344</f>
        <v>1510</v>
      </c>
      <c r="M343" s="29"/>
      <c r="N343" s="30"/>
    </row>
    <row r="344" spans="1:16">
      <c r="A344" s="110" t="s">
        <v>243</v>
      </c>
      <c r="B344" s="26" t="s">
        <v>352</v>
      </c>
      <c r="C344" s="26" t="s">
        <v>85</v>
      </c>
      <c r="D344" s="26" t="s">
        <v>21</v>
      </c>
      <c r="E344" s="127" t="s">
        <v>358</v>
      </c>
      <c r="F344" s="127" t="s">
        <v>244</v>
      </c>
      <c r="G344" s="589"/>
      <c r="H344" s="589"/>
      <c r="I344" s="589"/>
      <c r="J344" s="627">
        <v>1510</v>
      </c>
      <c r="K344" s="627"/>
      <c r="L344" s="627">
        <f>J344+K344</f>
        <v>1510</v>
      </c>
      <c r="M344" s="29"/>
      <c r="N344" s="30"/>
      <c r="O344" s="11">
        <v>1510</v>
      </c>
      <c r="P344" s="15">
        <f>K344</f>
        <v>0</v>
      </c>
    </row>
    <row r="345" spans="1:16" ht="29.25">
      <c r="A345" s="112" t="s">
        <v>89</v>
      </c>
      <c r="B345" s="25" t="s">
        <v>352</v>
      </c>
      <c r="C345" s="25" t="s">
        <v>85</v>
      </c>
      <c r="D345" s="25" t="s">
        <v>22</v>
      </c>
      <c r="E345" s="25"/>
      <c r="F345" s="25"/>
      <c r="G345" s="568">
        <f t="shared" ref="G345:M345" si="107">G350+G346+G348</f>
        <v>6</v>
      </c>
      <c r="H345" s="568">
        <f t="shared" si="107"/>
        <v>4331.8999999999996</v>
      </c>
      <c r="I345" s="568">
        <f t="shared" si="107"/>
        <v>0</v>
      </c>
      <c r="J345" s="488">
        <f>J350+J346+J348+J353</f>
        <v>8028.76</v>
      </c>
      <c r="K345" s="488">
        <f>K350+K346+K348+K353</f>
        <v>526.24300000000005</v>
      </c>
      <c r="L345" s="488">
        <f>L350+L346+L348+L353</f>
        <v>8555.0030000000006</v>
      </c>
      <c r="M345" s="570">
        <f t="shared" si="107"/>
        <v>182.5</v>
      </c>
      <c r="N345" s="96">
        <f>N350+N346+N348</f>
        <v>8262.0600000000013</v>
      </c>
    </row>
    <row r="346" spans="1:16" ht="75">
      <c r="A346" s="93" t="s">
        <v>359</v>
      </c>
      <c r="B346" s="26" t="s">
        <v>352</v>
      </c>
      <c r="C346" s="26" t="s">
        <v>85</v>
      </c>
      <c r="D346" s="26" t="s">
        <v>22</v>
      </c>
      <c r="E346" s="26" t="s">
        <v>360</v>
      </c>
      <c r="F346" s="26"/>
      <c r="G346" s="147">
        <f t="shared" ref="G346:N346" si="108">G347</f>
        <v>4570.2999999999993</v>
      </c>
      <c r="H346" s="147">
        <f t="shared" si="108"/>
        <v>0</v>
      </c>
      <c r="I346" s="147">
        <f t="shared" si="108"/>
        <v>0</v>
      </c>
      <c r="J346" s="627">
        <f t="shared" si="108"/>
        <v>7703.26</v>
      </c>
      <c r="K346" s="627">
        <f t="shared" si="108"/>
        <v>376.3</v>
      </c>
      <c r="L346" s="627">
        <f t="shared" si="108"/>
        <v>8079.56</v>
      </c>
      <c r="M346" s="42">
        <f t="shared" si="108"/>
        <v>250</v>
      </c>
      <c r="N346" s="43">
        <f t="shared" si="108"/>
        <v>8329.5600000000013</v>
      </c>
    </row>
    <row r="347" spans="1:16" ht="30">
      <c r="A347" s="111" t="s">
        <v>141</v>
      </c>
      <c r="B347" s="26" t="s">
        <v>352</v>
      </c>
      <c r="C347" s="26" t="s">
        <v>85</v>
      </c>
      <c r="D347" s="26" t="s">
        <v>22</v>
      </c>
      <c r="E347" s="26" t="s">
        <v>360</v>
      </c>
      <c r="F347" s="26" t="s">
        <v>142</v>
      </c>
      <c r="G347" s="147">
        <f>4569.9+0.4</f>
        <v>4570.2999999999993</v>
      </c>
      <c r="H347" s="589"/>
      <c r="I347" s="147"/>
      <c r="J347" s="627">
        <v>7703.26</v>
      </c>
      <c r="K347" s="627">
        <f>276.3+100</f>
        <v>376.3</v>
      </c>
      <c r="L347" s="627">
        <f>J347+K347</f>
        <v>8079.56</v>
      </c>
      <c r="M347" s="42">
        <v>250</v>
      </c>
      <c r="N347" s="30">
        <f>L347+M347</f>
        <v>8329.5600000000013</v>
      </c>
    </row>
    <row r="348" spans="1:16" ht="80.25" hidden="1" customHeight="1">
      <c r="A348" s="110" t="s">
        <v>354</v>
      </c>
      <c r="B348" s="26" t="s">
        <v>352</v>
      </c>
      <c r="C348" s="26" t="s">
        <v>85</v>
      </c>
      <c r="D348" s="26" t="s">
        <v>22</v>
      </c>
      <c r="E348" s="26" t="s">
        <v>355</v>
      </c>
      <c r="F348" s="26"/>
      <c r="G348" s="147">
        <f t="shared" ref="G348:N348" si="109">G349</f>
        <v>0</v>
      </c>
      <c r="H348" s="147">
        <f t="shared" si="109"/>
        <v>0</v>
      </c>
      <c r="I348" s="147">
        <f t="shared" si="109"/>
        <v>0</v>
      </c>
      <c r="J348" s="627">
        <f t="shared" si="109"/>
        <v>0</v>
      </c>
      <c r="K348" s="627">
        <f t="shared" si="109"/>
        <v>0</v>
      </c>
      <c r="L348" s="627">
        <f t="shared" si="109"/>
        <v>0</v>
      </c>
      <c r="M348" s="42">
        <f t="shared" si="109"/>
        <v>0</v>
      </c>
      <c r="N348" s="43">
        <f t="shared" si="109"/>
        <v>0</v>
      </c>
    </row>
    <row r="349" spans="1:16" ht="12.75" hidden="1" customHeight="1">
      <c r="A349" s="110" t="s">
        <v>243</v>
      </c>
      <c r="B349" s="26" t="s">
        <v>352</v>
      </c>
      <c r="C349" s="26" t="s">
        <v>85</v>
      </c>
      <c r="D349" s="26" t="s">
        <v>22</v>
      </c>
      <c r="E349" s="26" t="s">
        <v>355</v>
      </c>
      <c r="F349" s="26" t="s">
        <v>244</v>
      </c>
      <c r="G349" s="147">
        <v>0</v>
      </c>
      <c r="H349" s="589"/>
      <c r="I349" s="147">
        <v>0</v>
      </c>
      <c r="J349" s="627">
        <f>H349+I349</f>
        <v>0</v>
      </c>
      <c r="K349" s="627">
        <v>0</v>
      </c>
      <c r="L349" s="627">
        <f>J349+K349</f>
        <v>0</v>
      </c>
      <c r="M349" s="42">
        <v>0</v>
      </c>
      <c r="N349" s="30">
        <f>L349+M349</f>
        <v>0</v>
      </c>
    </row>
    <row r="350" spans="1:16" ht="30" hidden="1">
      <c r="A350" s="111" t="s">
        <v>361</v>
      </c>
      <c r="B350" s="26" t="s">
        <v>352</v>
      </c>
      <c r="C350" s="26" t="s">
        <v>85</v>
      </c>
      <c r="D350" s="26" t="s">
        <v>22</v>
      </c>
      <c r="E350" s="26" t="s">
        <v>362</v>
      </c>
      <c r="F350" s="26"/>
      <c r="G350" s="147">
        <f t="shared" ref="G350:N353" si="110">G351</f>
        <v>-4564.2999999999993</v>
      </c>
      <c r="H350" s="147">
        <f t="shared" si="110"/>
        <v>4331.8999999999996</v>
      </c>
      <c r="I350" s="147">
        <f t="shared" si="110"/>
        <v>0</v>
      </c>
      <c r="J350" s="627">
        <f t="shared" si="110"/>
        <v>0</v>
      </c>
      <c r="K350" s="627">
        <f t="shared" si="110"/>
        <v>0</v>
      </c>
      <c r="L350" s="627">
        <f t="shared" si="110"/>
        <v>0</v>
      </c>
      <c r="M350" s="42">
        <f t="shared" si="110"/>
        <v>-67.5</v>
      </c>
      <c r="N350" s="43">
        <f t="shared" si="110"/>
        <v>-67.5</v>
      </c>
    </row>
    <row r="351" spans="1:16" ht="30" hidden="1">
      <c r="A351" s="111" t="s">
        <v>145</v>
      </c>
      <c r="B351" s="26" t="s">
        <v>352</v>
      </c>
      <c r="C351" s="26" t="s">
        <v>85</v>
      </c>
      <c r="D351" s="26" t="s">
        <v>22</v>
      </c>
      <c r="E351" s="26" t="s">
        <v>363</v>
      </c>
      <c r="F351" s="26"/>
      <c r="G351" s="147">
        <f t="shared" si="110"/>
        <v>-4564.2999999999993</v>
      </c>
      <c r="H351" s="147">
        <f t="shared" si="110"/>
        <v>4331.8999999999996</v>
      </c>
      <c r="I351" s="147">
        <f t="shared" si="110"/>
        <v>0</v>
      </c>
      <c r="J351" s="627">
        <f t="shared" si="110"/>
        <v>0</v>
      </c>
      <c r="K351" s="627">
        <f t="shared" si="110"/>
        <v>0</v>
      </c>
      <c r="L351" s="627">
        <f t="shared" si="110"/>
        <v>0</v>
      </c>
      <c r="M351" s="42">
        <f t="shared" si="110"/>
        <v>-67.5</v>
      </c>
      <c r="N351" s="43">
        <f t="shared" si="110"/>
        <v>-67.5</v>
      </c>
    </row>
    <row r="352" spans="1:16" ht="30" hidden="1">
      <c r="A352" s="111" t="s">
        <v>141</v>
      </c>
      <c r="B352" s="26" t="s">
        <v>352</v>
      </c>
      <c r="C352" s="26" t="s">
        <v>85</v>
      </c>
      <c r="D352" s="26" t="s">
        <v>22</v>
      </c>
      <c r="E352" s="26" t="s">
        <v>363</v>
      </c>
      <c r="F352" s="26" t="s">
        <v>142</v>
      </c>
      <c r="G352" s="147">
        <f>6-15.4-4569.9+15</f>
        <v>-4564.2999999999993</v>
      </c>
      <c r="H352" s="589">
        <v>4331.8999999999996</v>
      </c>
      <c r="I352" s="147"/>
      <c r="J352" s="627"/>
      <c r="K352" s="627"/>
      <c r="L352" s="627">
        <f>J352+K352</f>
        <v>0</v>
      </c>
      <c r="M352" s="42">
        <f>-17.5-50</f>
        <v>-67.5</v>
      </c>
      <c r="N352" s="30">
        <f>L352+M352</f>
        <v>-67.5</v>
      </c>
    </row>
    <row r="353" spans="1:16" ht="30">
      <c r="A353" s="111" t="s">
        <v>145</v>
      </c>
      <c r="B353" s="26" t="s">
        <v>352</v>
      </c>
      <c r="C353" s="26" t="s">
        <v>85</v>
      </c>
      <c r="D353" s="26" t="s">
        <v>22</v>
      </c>
      <c r="E353" s="26" t="s">
        <v>364</v>
      </c>
      <c r="F353" s="26"/>
      <c r="G353" s="147"/>
      <c r="H353" s="589"/>
      <c r="I353" s="147"/>
      <c r="J353" s="627">
        <f t="shared" si="110"/>
        <v>325.5</v>
      </c>
      <c r="K353" s="627">
        <f t="shared" si="110"/>
        <v>149.94300000000001</v>
      </c>
      <c r="L353" s="627">
        <f t="shared" si="110"/>
        <v>475.44299999999998</v>
      </c>
      <c r="M353" s="42"/>
      <c r="N353" s="30"/>
    </row>
    <row r="354" spans="1:16" ht="30">
      <c r="A354" s="111" t="s">
        <v>141</v>
      </c>
      <c r="B354" s="26" t="s">
        <v>352</v>
      </c>
      <c r="C354" s="26" t="s">
        <v>85</v>
      </c>
      <c r="D354" s="26" t="s">
        <v>22</v>
      </c>
      <c r="E354" s="26" t="s">
        <v>364</v>
      </c>
      <c r="F354" s="26" t="s">
        <v>142</v>
      </c>
      <c r="G354" s="147"/>
      <c r="H354" s="589"/>
      <c r="I354" s="147"/>
      <c r="J354" s="627">
        <v>325.5</v>
      </c>
      <c r="K354" s="627">
        <f>35.75+4.466+60+24.473+25.254</f>
        <v>149.94300000000001</v>
      </c>
      <c r="L354" s="627">
        <f>J354+K354</f>
        <v>475.44299999999998</v>
      </c>
      <c r="M354" s="42"/>
      <c r="N354" s="30"/>
      <c r="O354" s="44">
        <f>178.92+171.97</f>
        <v>350.89</v>
      </c>
      <c r="P354" s="45">
        <f>L354-O354</f>
        <v>124.553</v>
      </c>
    </row>
    <row r="355" spans="1:16" ht="29.25">
      <c r="A355" s="155" t="s">
        <v>240</v>
      </c>
      <c r="B355" s="25" t="s">
        <v>352</v>
      </c>
      <c r="C355" s="25" t="s">
        <v>85</v>
      </c>
      <c r="D355" s="25" t="s">
        <v>24</v>
      </c>
      <c r="E355" s="25"/>
      <c r="F355" s="25"/>
      <c r="G355" s="206">
        <f t="shared" ref="G355:M355" si="111">G358+G404+G356</f>
        <v>3317.9229300000006</v>
      </c>
      <c r="H355" s="206">
        <f t="shared" si="111"/>
        <v>34738.200000000004</v>
      </c>
      <c r="I355" s="206">
        <f t="shared" si="111"/>
        <v>0</v>
      </c>
      <c r="J355" s="488">
        <f t="shared" si="111"/>
        <v>47340.185999999994</v>
      </c>
      <c r="K355" s="488">
        <f>K358+K404+K356</f>
        <v>1313.9</v>
      </c>
      <c r="L355" s="488">
        <f t="shared" si="111"/>
        <v>48654.085999999996</v>
      </c>
      <c r="M355" s="60">
        <f t="shared" si="111"/>
        <v>122</v>
      </c>
      <c r="N355" s="98">
        <f>N358+N404+N356</f>
        <v>36569.085999999996</v>
      </c>
    </row>
    <row r="356" spans="1:16" ht="75" hidden="1" customHeight="1">
      <c r="A356" s="39" t="s">
        <v>137</v>
      </c>
      <c r="B356" s="25" t="s">
        <v>352</v>
      </c>
      <c r="C356" s="25" t="s">
        <v>85</v>
      </c>
      <c r="D356" s="25" t="s">
        <v>24</v>
      </c>
      <c r="E356" s="25" t="s">
        <v>138</v>
      </c>
      <c r="F356" s="25"/>
      <c r="G356" s="568">
        <f t="shared" ref="G356:N356" si="112">G357</f>
        <v>3</v>
      </c>
      <c r="H356" s="568">
        <f t="shared" si="112"/>
        <v>0</v>
      </c>
      <c r="I356" s="568">
        <f t="shared" si="112"/>
        <v>0</v>
      </c>
      <c r="J356" s="488">
        <f t="shared" si="112"/>
        <v>0</v>
      </c>
      <c r="K356" s="488">
        <f t="shared" si="112"/>
        <v>0</v>
      </c>
      <c r="L356" s="488">
        <f t="shared" si="112"/>
        <v>0</v>
      </c>
      <c r="M356" s="570">
        <f t="shared" si="112"/>
        <v>0</v>
      </c>
      <c r="N356" s="96">
        <f t="shared" si="112"/>
        <v>0</v>
      </c>
    </row>
    <row r="357" spans="1:16" ht="15" hidden="1" customHeight="1">
      <c r="A357" s="110" t="s">
        <v>243</v>
      </c>
      <c r="B357" s="25" t="s">
        <v>352</v>
      </c>
      <c r="C357" s="25" t="s">
        <v>85</v>
      </c>
      <c r="D357" s="25" t="s">
        <v>24</v>
      </c>
      <c r="E357" s="25" t="s">
        <v>138</v>
      </c>
      <c r="F357" s="25" t="s">
        <v>244</v>
      </c>
      <c r="G357" s="568">
        <v>3</v>
      </c>
      <c r="H357" s="589"/>
      <c r="I357" s="568"/>
      <c r="J357" s="627">
        <f>H357+I357</f>
        <v>0</v>
      </c>
      <c r="K357" s="488"/>
      <c r="L357" s="627">
        <f>J357+K357</f>
        <v>0</v>
      </c>
      <c r="M357" s="570"/>
      <c r="N357" s="30">
        <f>L357+M357</f>
        <v>0</v>
      </c>
    </row>
    <row r="358" spans="1:16">
      <c r="A358" s="139" t="s">
        <v>365</v>
      </c>
      <c r="B358" s="26" t="s">
        <v>352</v>
      </c>
      <c r="C358" s="26" t="s">
        <v>85</v>
      </c>
      <c r="D358" s="26" t="s">
        <v>24</v>
      </c>
      <c r="E358" s="26" t="s">
        <v>366</v>
      </c>
      <c r="F358" s="26"/>
      <c r="G358" s="592">
        <f t="shared" ref="G358:M358" si="113">G359+G361+G364++G366+G368+G370+G373+G376+G378+G380++G383+G396+G398+G400+G402+G394</f>
        <v>6827.9229300000006</v>
      </c>
      <c r="H358" s="592">
        <f t="shared" si="113"/>
        <v>31056.600000000002</v>
      </c>
      <c r="I358" s="592">
        <f t="shared" si="113"/>
        <v>0</v>
      </c>
      <c r="J358" s="627">
        <f>J359+J361+J364++J366+J368+J370+J373+J376+J378+J380++J383+J396+J398+J400+J402+J394+J387+J389+J391</f>
        <v>47340.185999999994</v>
      </c>
      <c r="K358" s="627">
        <f>K359+K361+K364++K366+K368+K370+K373+K376+K378+K380++K383+K396+K398+K400+K402+K394+K387+K389+K391</f>
        <v>1313.9</v>
      </c>
      <c r="L358" s="627">
        <f>L359+L361+L364++L366+L368+L370+L373+L376+L378+L380++L383+L396+L398+L400+L402+L394+L387+L389+L391</f>
        <v>48654.085999999996</v>
      </c>
      <c r="M358" s="28">
        <f t="shared" si="113"/>
        <v>122</v>
      </c>
      <c r="N358" s="55">
        <f>N359+N361+N364++N366+N368+N370+N373+N376+N378+N380++N383+N396+N398+N400+N402+N394</f>
        <v>36569.085999999996</v>
      </c>
    </row>
    <row r="359" spans="1:16" ht="90" hidden="1">
      <c r="A359" s="110" t="s">
        <v>367</v>
      </c>
      <c r="B359" s="26" t="s">
        <v>352</v>
      </c>
      <c r="C359" s="26" t="s">
        <v>85</v>
      </c>
      <c r="D359" s="26" t="s">
        <v>24</v>
      </c>
      <c r="E359" s="26" t="s">
        <v>368</v>
      </c>
      <c r="F359" s="26"/>
      <c r="G359" s="147">
        <f t="shared" ref="G359:N359" si="114">G360</f>
        <v>-206</v>
      </c>
      <c r="H359" s="147">
        <f t="shared" si="114"/>
        <v>215.9</v>
      </c>
      <c r="I359" s="147">
        <f t="shared" si="114"/>
        <v>0</v>
      </c>
      <c r="J359" s="627">
        <f t="shared" si="114"/>
        <v>0</v>
      </c>
      <c r="K359" s="627">
        <f t="shared" si="114"/>
        <v>0</v>
      </c>
      <c r="L359" s="627">
        <f t="shared" si="114"/>
        <v>0</v>
      </c>
      <c r="M359" s="42">
        <f t="shared" si="114"/>
        <v>0</v>
      </c>
      <c r="N359" s="43">
        <f t="shared" si="114"/>
        <v>0</v>
      </c>
    </row>
    <row r="360" spans="1:16" hidden="1">
      <c r="A360" s="110" t="s">
        <v>243</v>
      </c>
      <c r="B360" s="26" t="s">
        <v>352</v>
      </c>
      <c r="C360" s="26" t="s">
        <v>85</v>
      </c>
      <c r="D360" s="26" t="s">
        <v>24</v>
      </c>
      <c r="E360" s="26" t="s">
        <v>368</v>
      </c>
      <c r="F360" s="26" t="s">
        <v>244</v>
      </c>
      <c r="G360" s="147">
        <v>-206</v>
      </c>
      <c r="H360" s="589">
        <v>215.9</v>
      </c>
      <c r="I360" s="147"/>
      <c r="J360" s="627"/>
      <c r="K360" s="627"/>
      <c r="L360" s="627">
        <f>J360+K360</f>
        <v>0</v>
      </c>
      <c r="M360" s="42"/>
      <c r="N360" s="30">
        <f>L360+M360</f>
        <v>0</v>
      </c>
    </row>
    <row r="361" spans="1:16" ht="45">
      <c r="A361" s="110" t="s">
        <v>369</v>
      </c>
      <c r="B361" s="26" t="s">
        <v>352</v>
      </c>
      <c r="C361" s="26" t="s">
        <v>85</v>
      </c>
      <c r="D361" s="26" t="s">
        <v>24</v>
      </c>
      <c r="E361" s="26" t="s">
        <v>370</v>
      </c>
      <c r="F361" s="26"/>
      <c r="G361" s="592">
        <f t="shared" ref="G361:M361" si="115">G362+G363</f>
        <v>27.99813</v>
      </c>
      <c r="H361" s="592">
        <f t="shared" si="115"/>
        <v>87.7</v>
      </c>
      <c r="I361" s="592">
        <f t="shared" si="115"/>
        <v>0</v>
      </c>
      <c r="J361" s="627">
        <f t="shared" si="115"/>
        <v>115</v>
      </c>
      <c r="K361" s="627">
        <f t="shared" si="115"/>
        <v>13.9</v>
      </c>
      <c r="L361" s="627">
        <f t="shared" si="115"/>
        <v>128.9</v>
      </c>
      <c r="M361" s="28">
        <f t="shared" si="115"/>
        <v>0</v>
      </c>
      <c r="N361" s="55">
        <f>N362+N363</f>
        <v>128.9</v>
      </c>
    </row>
    <row r="362" spans="1:16" ht="30" hidden="1">
      <c r="A362" s="110" t="s">
        <v>141</v>
      </c>
      <c r="B362" s="26" t="s">
        <v>352</v>
      </c>
      <c r="C362" s="26" t="s">
        <v>85</v>
      </c>
      <c r="D362" s="26" t="s">
        <v>24</v>
      </c>
      <c r="E362" s="26" t="s">
        <v>370</v>
      </c>
      <c r="F362" s="26" t="s">
        <v>142</v>
      </c>
      <c r="G362" s="147"/>
      <c r="H362" s="589">
        <v>87.7</v>
      </c>
      <c r="I362" s="147"/>
      <c r="J362" s="627"/>
      <c r="K362" s="627"/>
      <c r="L362" s="627">
        <f>J362+K362</f>
        <v>0</v>
      </c>
      <c r="M362" s="42"/>
      <c r="N362" s="30">
        <f>L362+M362</f>
        <v>0</v>
      </c>
    </row>
    <row r="363" spans="1:16">
      <c r="A363" s="110" t="s">
        <v>243</v>
      </c>
      <c r="B363" s="26" t="s">
        <v>352</v>
      </c>
      <c r="C363" s="26" t="s">
        <v>85</v>
      </c>
      <c r="D363" s="26" t="s">
        <v>24</v>
      </c>
      <c r="E363" s="26" t="s">
        <v>370</v>
      </c>
      <c r="F363" s="26" t="s">
        <v>244</v>
      </c>
      <c r="G363" s="147">
        <v>27.99813</v>
      </c>
      <c r="H363" s="589"/>
      <c r="I363" s="147"/>
      <c r="J363" s="627">
        <v>115</v>
      </c>
      <c r="K363" s="627">
        <v>13.9</v>
      </c>
      <c r="L363" s="627">
        <f>J363+K363</f>
        <v>128.9</v>
      </c>
      <c r="M363" s="42"/>
      <c r="N363" s="30">
        <f>L363+M363</f>
        <v>128.9</v>
      </c>
      <c r="O363" s="11">
        <v>115</v>
      </c>
      <c r="P363" s="15">
        <f>K363</f>
        <v>13.9</v>
      </c>
    </row>
    <row r="364" spans="1:16" ht="30" hidden="1">
      <c r="A364" s="116" t="s">
        <v>371</v>
      </c>
      <c r="B364" s="26" t="s">
        <v>352</v>
      </c>
      <c r="C364" s="26" t="s">
        <v>85</v>
      </c>
      <c r="D364" s="26" t="s">
        <v>24</v>
      </c>
      <c r="E364" s="26" t="s">
        <v>372</v>
      </c>
      <c r="F364" s="26"/>
      <c r="G364" s="147">
        <f t="shared" ref="G364:N364" si="116">G365</f>
        <v>0</v>
      </c>
      <c r="H364" s="147">
        <f t="shared" si="116"/>
        <v>7457.6</v>
      </c>
      <c r="I364" s="147">
        <f t="shared" si="116"/>
        <v>0</v>
      </c>
      <c r="J364" s="627">
        <f>J365</f>
        <v>0</v>
      </c>
      <c r="K364" s="627">
        <f t="shared" si="116"/>
        <v>0</v>
      </c>
      <c r="L364" s="627">
        <f t="shared" si="116"/>
        <v>0</v>
      </c>
      <c r="M364" s="42">
        <f t="shared" si="116"/>
        <v>0</v>
      </c>
      <c r="N364" s="43">
        <f t="shared" si="116"/>
        <v>0</v>
      </c>
    </row>
    <row r="365" spans="1:16" hidden="1">
      <c r="A365" s="116" t="s">
        <v>373</v>
      </c>
      <c r="B365" s="26" t="s">
        <v>352</v>
      </c>
      <c r="C365" s="26" t="s">
        <v>85</v>
      </c>
      <c r="D365" s="26" t="s">
        <v>24</v>
      </c>
      <c r="E365" s="26" t="s">
        <v>372</v>
      </c>
      <c r="F365" s="26" t="s">
        <v>244</v>
      </c>
      <c r="G365" s="147">
        <f>-2752.3+2752.3</f>
        <v>0</v>
      </c>
      <c r="H365" s="589">
        <v>7457.6</v>
      </c>
      <c r="I365" s="147"/>
      <c r="J365" s="627"/>
      <c r="K365" s="627"/>
      <c r="L365" s="627">
        <f>J365+K365</f>
        <v>0</v>
      </c>
      <c r="M365" s="42"/>
      <c r="N365" s="30">
        <f>L365+M365</f>
        <v>0</v>
      </c>
    </row>
    <row r="366" spans="1:16" hidden="1">
      <c r="A366" s="93" t="s">
        <v>373</v>
      </c>
      <c r="B366" s="26" t="s">
        <v>352</v>
      </c>
      <c r="C366" s="26" t="s">
        <v>85</v>
      </c>
      <c r="D366" s="26" t="s">
        <v>24</v>
      </c>
      <c r="E366" s="26" t="s">
        <v>374</v>
      </c>
      <c r="F366" s="26"/>
      <c r="G366" s="592">
        <f t="shared" ref="G366:N366" si="117">G367</f>
        <v>353.22045000000003</v>
      </c>
      <c r="H366" s="592">
        <f t="shared" si="117"/>
        <v>0</v>
      </c>
      <c r="I366" s="592">
        <f t="shared" si="117"/>
        <v>0</v>
      </c>
      <c r="J366" s="627">
        <f t="shared" si="117"/>
        <v>0</v>
      </c>
      <c r="K366" s="627">
        <f t="shared" si="117"/>
        <v>0</v>
      </c>
      <c r="L366" s="627">
        <f t="shared" si="117"/>
        <v>0</v>
      </c>
      <c r="M366" s="28">
        <f t="shared" si="117"/>
        <v>0</v>
      </c>
      <c r="N366" s="55">
        <f t="shared" si="117"/>
        <v>0</v>
      </c>
    </row>
    <row r="367" spans="1:16" hidden="1">
      <c r="A367" s="110" t="s">
        <v>243</v>
      </c>
      <c r="B367" s="26" t="s">
        <v>352</v>
      </c>
      <c r="C367" s="26" t="s">
        <v>85</v>
      </c>
      <c r="D367" s="26" t="s">
        <v>24</v>
      </c>
      <c r="E367" s="26" t="s">
        <v>374</v>
      </c>
      <c r="F367" s="26" t="s">
        <v>244</v>
      </c>
      <c r="G367" s="592">
        <v>353.22045000000003</v>
      </c>
      <c r="H367" s="589"/>
      <c r="I367" s="592"/>
      <c r="J367" s="627"/>
      <c r="K367" s="627"/>
      <c r="L367" s="627">
        <f>J367+K367</f>
        <v>0</v>
      </c>
      <c r="M367" s="28"/>
      <c r="N367" s="30">
        <f>L367+M367</f>
        <v>0</v>
      </c>
    </row>
    <row r="368" spans="1:16" ht="45" hidden="1">
      <c r="A368" s="93" t="s">
        <v>375</v>
      </c>
      <c r="B368" s="26" t="s">
        <v>352</v>
      </c>
      <c r="C368" s="26" t="s">
        <v>85</v>
      </c>
      <c r="D368" s="26" t="s">
        <v>24</v>
      </c>
      <c r="E368" s="26" t="s">
        <v>376</v>
      </c>
      <c r="F368" s="26"/>
      <c r="G368" s="592">
        <f t="shared" ref="G368:N368" si="118">G369</f>
        <v>909.37545</v>
      </c>
      <c r="H368" s="147">
        <f t="shared" si="118"/>
        <v>0</v>
      </c>
      <c r="I368" s="592">
        <f t="shared" si="118"/>
        <v>0</v>
      </c>
      <c r="J368" s="627">
        <f t="shared" si="118"/>
        <v>0</v>
      </c>
      <c r="K368" s="627">
        <f t="shared" si="118"/>
        <v>0</v>
      </c>
      <c r="L368" s="627">
        <f t="shared" si="118"/>
        <v>0</v>
      </c>
      <c r="M368" s="28">
        <f t="shared" si="118"/>
        <v>0</v>
      </c>
      <c r="N368" s="43">
        <f t="shared" si="118"/>
        <v>0</v>
      </c>
    </row>
    <row r="369" spans="1:16" hidden="1">
      <c r="A369" s="110" t="s">
        <v>243</v>
      </c>
      <c r="B369" s="26" t="s">
        <v>352</v>
      </c>
      <c r="C369" s="26" t="s">
        <v>85</v>
      </c>
      <c r="D369" s="26" t="s">
        <v>24</v>
      </c>
      <c r="E369" s="26" t="s">
        <v>376</v>
      </c>
      <c r="F369" s="26" t="s">
        <v>244</v>
      </c>
      <c r="G369" s="592">
        <f>0.17545+909.2</f>
        <v>909.37545</v>
      </c>
      <c r="H369" s="589"/>
      <c r="I369" s="592"/>
      <c r="J369" s="627"/>
      <c r="K369" s="627"/>
      <c r="L369" s="627">
        <f>J369+K369</f>
        <v>0</v>
      </c>
      <c r="M369" s="28"/>
      <c r="N369" s="30">
        <f>L369+M369</f>
        <v>0</v>
      </c>
    </row>
    <row r="370" spans="1:16" ht="45" hidden="1">
      <c r="A370" s="116" t="s">
        <v>375</v>
      </c>
      <c r="B370" s="26" t="s">
        <v>352</v>
      </c>
      <c r="C370" s="26" t="s">
        <v>85</v>
      </c>
      <c r="D370" s="26" t="s">
        <v>24</v>
      </c>
      <c r="E370" s="26" t="s">
        <v>377</v>
      </c>
      <c r="F370" s="26"/>
      <c r="G370" s="592">
        <f t="shared" ref="G370:M370" si="119">G371+G372</f>
        <v>-997.68505000000005</v>
      </c>
      <c r="H370" s="592">
        <f t="shared" si="119"/>
        <v>1557.3</v>
      </c>
      <c r="I370" s="592">
        <f t="shared" si="119"/>
        <v>0</v>
      </c>
      <c r="J370" s="627">
        <f t="shared" si="119"/>
        <v>0</v>
      </c>
      <c r="K370" s="627">
        <f t="shared" si="119"/>
        <v>0</v>
      </c>
      <c r="L370" s="627">
        <f t="shared" si="119"/>
        <v>0</v>
      </c>
      <c r="M370" s="28">
        <f t="shared" si="119"/>
        <v>0</v>
      </c>
      <c r="N370" s="55">
        <f>N371+N372</f>
        <v>0</v>
      </c>
    </row>
    <row r="371" spans="1:16" ht="30" hidden="1">
      <c r="A371" s="116" t="s">
        <v>378</v>
      </c>
      <c r="B371" s="26" t="s">
        <v>352</v>
      </c>
      <c r="C371" s="26" t="s">
        <v>85</v>
      </c>
      <c r="D371" s="26" t="s">
        <v>24</v>
      </c>
      <c r="E371" s="26" t="s">
        <v>379</v>
      </c>
      <c r="F371" s="26" t="s">
        <v>244</v>
      </c>
      <c r="G371" s="592">
        <f>1.51495-90+486.8</f>
        <v>398.31495000000001</v>
      </c>
      <c r="H371" s="589">
        <v>1557.3</v>
      </c>
      <c r="I371" s="592"/>
      <c r="J371" s="627"/>
      <c r="K371" s="627"/>
      <c r="L371" s="627">
        <f>J371+K371</f>
        <v>0</v>
      </c>
      <c r="M371" s="28"/>
      <c r="N371" s="30">
        <f>L371+M371</f>
        <v>0</v>
      </c>
    </row>
    <row r="372" spans="1:16" ht="30" hidden="1">
      <c r="A372" s="116" t="s">
        <v>380</v>
      </c>
      <c r="B372" s="26" t="s">
        <v>352</v>
      </c>
      <c r="C372" s="26" t="s">
        <v>85</v>
      </c>
      <c r="D372" s="26" t="s">
        <v>24</v>
      </c>
      <c r="E372" s="26" t="s">
        <v>379</v>
      </c>
      <c r="F372" s="26" t="s">
        <v>244</v>
      </c>
      <c r="G372" s="147">
        <v>-1396</v>
      </c>
      <c r="H372" s="589"/>
      <c r="I372" s="147"/>
      <c r="J372" s="627"/>
      <c r="K372" s="627"/>
      <c r="L372" s="627">
        <f>J372+K372</f>
        <v>0</v>
      </c>
      <c r="M372" s="42"/>
      <c r="N372" s="30">
        <f>L372+M372</f>
        <v>0</v>
      </c>
    </row>
    <row r="373" spans="1:16" ht="150" customHeight="1">
      <c r="A373" s="110" t="s">
        <v>381</v>
      </c>
      <c r="B373" s="26" t="s">
        <v>352</v>
      </c>
      <c r="C373" s="26" t="s">
        <v>85</v>
      </c>
      <c r="D373" s="26" t="s">
        <v>24</v>
      </c>
      <c r="E373" s="26" t="s">
        <v>382</v>
      </c>
      <c r="F373" s="26"/>
      <c r="G373" s="147">
        <f t="shared" ref="G373:N373" si="120">G375</f>
        <v>0</v>
      </c>
      <c r="H373" s="147">
        <f t="shared" si="120"/>
        <v>809.6</v>
      </c>
      <c r="I373" s="147">
        <f t="shared" si="120"/>
        <v>0</v>
      </c>
      <c r="J373" s="627">
        <f>J375+J374</f>
        <v>2232</v>
      </c>
      <c r="K373" s="627">
        <f>K375+K374</f>
        <v>0</v>
      </c>
      <c r="L373" s="627">
        <f>L375+L374</f>
        <v>2232</v>
      </c>
      <c r="M373" s="42">
        <f t="shared" si="120"/>
        <v>0</v>
      </c>
      <c r="N373" s="43">
        <f t="shared" si="120"/>
        <v>1116</v>
      </c>
    </row>
    <row r="374" spans="1:16">
      <c r="A374" s="110" t="s">
        <v>243</v>
      </c>
      <c r="B374" s="26" t="s">
        <v>352</v>
      </c>
      <c r="C374" s="26" t="s">
        <v>85</v>
      </c>
      <c r="D374" s="26" t="s">
        <v>24</v>
      </c>
      <c r="E374" s="26" t="s">
        <v>1145</v>
      </c>
      <c r="F374" s="26" t="s">
        <v>244</v>
      </c>
      <c r="G374" s="147"/>
      <c r="H374" s="147"/>
      <c r="I374" s="147"/>
      <c r="J374" s="627">
        <v>1116</v>
      </c>
      <c r="K374" s="627"/>
      <c r="L374" s="627">
        <f>J374+K374</f>
        <v>1116</v>
      </c>
      <c r="M374" s="42"/>
      <c r="N374" s="43"/>
    </row>
    <row r="375" spans="1:16">
      <c r="A375" s="110" t="s">
        <v>243</v>
      </c>
      <c r="B375" s="26" t="s">
        <v>352</v>
      </c>
      <c r="C375" s="26" t="s">
        <v>85</v>
      </c>
      <c r="D375" s="26" t="s">
        <v>24</v>
      </c>
      <c r="E375" s="26" t="s">
        <v>383</v>
      </c>
      <c r="F375" s="26" t="s">
        <v>244</v>
      </c>
      <c r="G375" s="147"/>
      <c r="H375" s="589">
        <v>809.6</v>
      </c>
      <c r="I375" s="147"/>
      <c r="J375" s="627">
        <v>1116</v>
      </c>
      <c r="K375" s="627"/>
      <c r="L375" s="627">
        <f>J375+K375</f>
        <v>1116</v>
      </c>
      <c r="M375" s="42"/>
      <c r="N375" s="30">
        <f>L375+M375</f>
        <v>1116</v>
      </c>
      <c r="O375" s="11">
        <v>558</v>
      </c>
      <c r="P375" s="15">
        <f>K375</f>
        <v>0</v>
      </c>
    </row>
    <row r="376" spans="1:16" ht="12" hidden="1" customHeight="1">
      <c r="A376" s="110" t="s">
        <v>384</v>
      </c>
      <c r="B376" s="26" t="s">
        <v>352</v>
      </c>
      <c r="C376" s="26" t="s">
        <v>85</v>
      </c>
      <c r="D376" s="26" t="s">
        <v>24</v>
      </c>
      <c r="E376" s="26" t="s">
        <v>385</v>
      </c>
      <c r="F376" s="26"/>
      <c r="G376" s="592">
        <f t="shared" ref="G376:N376" si="121">G377</f>
        <v>12.433579999999999</v>
      </c>
      <c r="H376" s="592">
        <f t="shared" si="121"/>
        <v>63.5</v>
      </c>
      <c r="I376" s="592">
        <f t="shared" si="121"/>
        <v>0</v>
      </c>
      <c r="J376" s="627">
        <f t="shared" si="121"/>
        <v>0</v>
      </c>
      <c r="K376" s="627">
        <f t="shared" si="121"/>
        <v>0</v>
      </c>
      <c r="L376" s="627">
        <f t="shared" si="121"/>
        <v>0</v>
      </c>
      <c r="M376" s="28">
        <f t="shared" si="121"/>
        <v>0</v>
      </c>
      <c r="N376" s="55">
        <f t="shared" si="121"/>
        <v>0</v>
      </c>
    </row>
    <row r="377" spans="1:16" ht="17.25" hidden="1" customHeight="1">
      <c r="A377" s="110" t="s">
        <v>243</v>
      </c>
      <c r="B377" s="26" t="s">
        <v>352</v>
      </c>
      <c r="C377" s="26" t="s">
        <v>85</v>
      </c>
      <c r="D377" s="26" t="s">
        <v>24</v>
      </c>
      <c r="E377" s="26" t="s">
        <v>385</v>
      </c>
      <c r="F377" s="26" t="s">
        <v>244</v>
      </c>
      <c r="G377" s="592">
        <v>12.433579999999999</v>
      </c>
      <c r="H377" s="589">
        <v>63.5</v>
      </c>
      <c r="I377" s="592"/>
      <c r="J377" s="627"/>
      <c r="K377" s="627"/>
      <c r="L377" s="627">
        <f>J377+K377</f>
        <v>0</v>
      </c>
      <c r="M377" s="28"/>
      <c r="N377" s="30">
        <f>L377+M377</f>
        <v>0</v>
      </c>
    </row>
    <row r="378" spans="1:16" ht="29.25" customHeight="1">
      <c r="A378" s="110" t="s">
        <v>386</v>
      </c>
      <c r="B378" s="26" t="s">
        <v>352</v>
      </c>
      <c r="C378" s="26" t="s">
        <v>85</v>
      </c>
      <c r="D378" s="26" t="s">
        <v>24</v>
      </c>
      <c r="E378" s="26" t="s">
        <v>387</v>
      </c>
      <c r="F378" s="26"/>
      <c r="G378" s="589">
        <f t="shared" ref="G378:N378" si="122">G379</f>
        <v>2180.9865300000001</v>
      </c>
      <c r="H378" s="589">
        <f t="shared" si="122"/>
        <v>19158.8</v>
      </c>
      <c r="I378" s="589">
        <f t="shared" si="122"/>
        <v>0</v>
      </c>
      <c r="J378" s="627">
        <f t="shared" si="122"/>
        <v>14474.1</v>
      </c>
      <c r="K378" s="627">
        <f t="shared" si="122"/>
        <v>1300</v>
      </c>
      <c r="L378" s="627">
        <f t="shared" si="122"/>
        <v>15774.1</v>
      </c>
      <c r="M378" s="29">
        <f t="shared" si="122"/>
        <v>0</v>
      </c>
      <c r="N378" s="30">
        <f t="shared" si="122"/>
        <v>15774.1</v>
      </c>
    </row>
    <row r="379" spans="1:16">
      <c r="A379" s="110" t="s">
        <v>243</v>
      </c>
      <c r="B379" s="26" t="s">
        <v>352</v>
      </c>
      <c r="C379" s="26" t="s">
        <v>85</v>
      </c>
      <c r="D379" s="26" t="s">
        <v>24</v>
      </c>
      <c r="E379" s="26" t="s">
        <v>387</v>
      </c>
      <c r="F379" s="26" t="s">
        <v>244</v>
      </c>
      <c r="G379" s="589">
        <f>2180.98653</f>
        <v>2180.9865300000001</v>
      </c>
      <c r="H379" s="589">
        <v>19158.8</v>
      </c>
      <c r="I379" s="589"/>
      <c r="J379" s="627">
        <v>14474.1</v>
      </c>
      <c r="K379" s="627">
        <v>1300</v>
      </c>
      <c r="L379" s="627">
        <f>J379+K379</f>
        <v>15774.1</v>
      </c>
      <c r="M379" s="29"/>
      <c r="N379" s="30">
        <f>L379+M379</f>
        <v>15774.1</v>
      </c>
      <c r="O379" s="11">
        <v>10564.1</v>
      </c>
      <c r="P379" s="15">
        <f>K379</f>
        <v>1300</v>
      </c>
    </row>
    <row r="380" spans="1:16" ht="60" hidden="1">
      <c r="A380" s="110" t="s">
        <v>388</v>
      </c>
      <c r="B380" s="26" t="s">
        <v>352</v>
      </c>
      <c r="C380" s="26" t="s">
        <v>85</v>
      </c>
      <c r="D380" s="26" t="s">
        <v>24</v>
      </c>
      <c r="E380" s="26" t="s">
        <v>389</v>
      </c>
      <c r="F380" s="26"/>
      <c r="G380" s="592">
        <f t="shared" ref="G380:M380" si="123">G381+G382</f>
        <v>13.745500000000002</v>
      </c>
      <c r="H380" s="592">
        <f t="shared" si="123"/>
        <v>95.4</v>
      </c>
      <c r="I380" s="592">
        <f t="shared" si="123"/>
        <v>0</v>
      </c>
      <c r="J380" s="627">
        <f t="shared" si="123"/>
        <v>0</v>
      </c>
      <c r="K380" s="627">
        <f t="shared" si="123"/>
        <v>0</v>
      </c>
      <c r="L380" s="627">
        <f t="shared" si="123"/>
        <v>0</v>
      </c>
      <c r="M380" s="28">
        <f t="shared" si="123"/>
        <v>0</v>
      </c>
      <c r="N380" s="55">
        <f>N381+N382</f>
        <v>0</v>
      </c>
    </row>
    <row r="381" spans="1:16" hidden="1">
      <c r="A381" s="110" t="s">
        <v>243</v>
      </c>
      <c r="B381" s="26" t="s">
        <v>352</v>
      </c>
      <c r="C381" s="26" t="s">
        <v>85</v>
      </c>
      <c r="D381" s="26" t="s">
        <v>24</v>
      </c>
      <c r="E381" s="26" t="s">
        <v>389</v>
      </c>
      <c r="F381" s="26" t="s">
        <v>244</v>
      </c>
      <c r="G381" s="592">
        <f>5.3945-47.9+47.9</f>
        <v>5.3945000000000007</v>
      </c>
      <c r="H381" s="589">
        <v>95.4</v>
      </c>
      <c r="I381" s="592"/>
      <c r="J381" s="627"/>
      <c r="K381" s="627"/>
      <c r="L381" s="627">
        <f>J381+K381</f>
        <v>0</v>
      </c>
      <c r="M381" s="28"/>
      <c r="N381" s="30">
        <f>L381+M381</f>
        <v>0</v>
      </c>
    </row>
    <row r="382" spans="1:16" ht="15" hidden="1" customHeight="1">
      <c r="A382" s="110" t="s">
        <v>243</v>
      </c>
      <c r="B382" s="26" t="s">
        <v>352</v>
      </c>
      <c r="C382" s="26" t="s">
        <v>85</v>
      </c>
      <c r="D382" s="26" t="s">
        <v>24</v>
      </c>
      <c r="E382" s="26" t="s">
        <v>390</v>
      </c>
      <c r="F382" s="26" t="s">
        <v>244</v>
      </c>
      <c r="G382" s="147">
        <f>8.351</f>
        <v>8.3510000000000009</v>
      </c>
      <c r="H382" s="589"/>
      <c r="I382" s="147"/>
      <c r="J382" s="627">
        <f>H382+I382</f>
        <v>0</v>
      </c>
      <c r="K382" s="627"/>
      <c r="L382" s="627">
        <f>J382+K382</f>
        <v>0</v>
      </c>
      <c r="M382" s="42"/>
      <c r="N382" s="30">
        <f>L382+M382</f>
        <v>0</v>
      </c>
    </row>
    <row r="383" spans="1:16" ht="45">
      <c r="A383" s="110" t="s">
        <v>391</v>
      </c>
      <c r="B383" s="26" t="s">
        <v>352</v>
      </c>
      <c r="C383" s="26" t="s">
        <v>85</v>
      </c>
      <c r="D383" s="26" t="s">
        <v>24</v>
      </c>
      <c r="E383" s="26" t="s">
        <v>392</v>
      </c>
      <c r="F383" s="26"/>
      <c r="G383" s="592">
        <f t="shared" ref="G383:M383" si="124">G384+G385</f>
        <v>701.88176999999996</v>
      </c>
      <c r="H383" s="589">
        <f t="shared" si="124"/>
        <v>556.5</v>
      </c>
      <c r="I383" s="592">
        <f t="shared" si="124"/>
        <v>0</v>
      </c>
      <c r="J383" s="627">
        <f t="shared" si="124"/>
        <v>8129.1</v>
      </c>
      <c r="K383" s="627">
        <f t="shared" si="124"/>
        <v>0</v>
      </c>
      <c r="L383" s="627">
        <f t="shared" si="124"/>
        <v>8129.1</v>
      </c>
      <c r="M383" s="28">
        <f t="shared" si="124"/>
        <v>0</v>
      </c>
      <c r="N383" s="30">
        <f>N384+N385</f>
        <v>8129.1</v>
      </c>
    </row>
    <row r="384" spans="1:16" hidden="1">
      <c r="A384" s="110" t="s">
        <v>243</v>
      </c>
      <c r="B384" s="26" t="s">
        <v>352</v>
      </c>
      <c r="C384" s="26" t="s">
        <v>85</v>
      </c>
      <c r="D384" s="26" t="s">
        <v>24</v>
      </c>
      <c r="E384" s="26" t="s">
        <v>392</v>
      </c>
      <c r="F384" s="26" t="s">
        <v>244</v>
      </c>
      <c r="G384" s="592">
        <f>561.12977+140.752-531</f>
        <v>170.88176999999996</v>
      </c>
      <c r="H384" s="589">
        <v>556.5</v>
      </c>
      <c r="I384" s="592"/>
      <c r="J384" s="627"/>
      <c r="K384" s="627"/>
      <c r="L384" s="627">
        <f>J384+K384</f>
        <v>0</v>
      </c>
      <c r="M384" s="28"/>
      <c r="N384" s="30">
        <f>L384+M384</f>
        <v>0</v>
      </c>
    </row>
    <row r="385" spans="1:16" ht="45">
      <c r="A385" s="93" t="s">
        <v>391</v>
      </c>
      <c r="B385" s="26" t="s">
        <v>352</v>
      </c>
      <c r="C385" s="26" t="s">
        <v>85</v>
      </c>
      <c r="D385" s="26" t="s">
        <v>24</v>
      </c>
      <c r="E385" s="26" t="s">
        <v>393</v>
      </c>
      <c r="F385" s="26"/>
      <c r="G385" s="147">
        <f t="shared" ref="G385:N385" si="125">G386</f>
        <v>531</v>
      </c>
      <c r="H385" s="147">
        <f t="shared" si="125"/>
        <v>0</v>
      </c>
      <c r="I385" s="147">
        <f t="shared" si="125"/>
        <v>0</v>
      </c>
      <c r="J385" s="627">
        <f t="shared" si="125"/>
        <v>8129.1</v>
      </c>
      <c r="K385" s="627">
        <f t="shared" si="125"/>
        <v>0</v>
      </c>
      <c r="L385" s="627">
        <f t="shared" si="125"/>
        <v>8129.1</v>
      </c>
      <c r="M385" s="42">
        <f t="shared" si="125"/>
        <v>0</v>
      </c>
      <c r="N385" s="43">
        <f t="shared" si="125"/>
        <v>8129.1</v>
      </c>
    </row>
    <row r="386" spans="1:16">
      <c r="A386" s="110" t="s">
        <v>243</v>
      </c>
      <c r="B386" s="26" t="s">
        <v>352</v>
      </c>
      <c r="C386" s="26" t="s">
        <v>85</v>
      </c>
      <c r="D386" s="26" t="s">
        <v>24</v>
      </c>
      <c r="E386" s="26" t="s">
        <v>393</v>
      </c>
      <c r="F386" s="26" t="s">
        <v>244</v>
      </c>
      <c r="G386" s="147">
        <v>531</v>
      </c>
      <c r="H386" s="589"/>
      <c r="I386" s="147"/>
      <c r="J386" s="627">
        <v>8129.1</v>
      </c>
      <c r="K386" s="627"/>
      <c r="L386" s="627">
        <f>J386+K386</f>
        <v>8129.1</v>
      </c>
      <c r="M386" s="42"/>
      <c r="N386" s="30">
        <f>L386+M386</f>
        <v>8129.1</v>
      </c>
      <c r="O386" s="11">
        <v>8129.1</v>
      </c>
      <c r="P386" s="15">
        <f>K386</f>
        <v>0</v>
      </c>
    </row>
    <row r="387" spans="1:16" ht="30">
      <c r="A387" s="116" t="s">
        <v>371</v>
      </c>
      <c r="B387" s="26" t="s">
        <v>352</v>
      </c>
      <c r="C387" s="26" t="s">
        <v>85</v>
      </c>
      <c r="D387" s="26" t="s">
        <v>24</v>
      </c>
      <c r="E387" s="26" t="s">
        <v>394</v>
      </c>
      <c r="F387" s="26"/>
      <c r="G387" s="147"/>
      <c r="H387" s="589"/>
      <c r="I387" s="147"/>
      <c r="J387" s="627">
        <f>J388</f>
        <v>7021</v>
      </c>
      <c r="K387" s="627">
        <f>K388</f>
        <v>0</v>
      </c>
      <c r="L387" s="627">
        <f>L388</f>
        <v>7021</v>
      </c>
      <c r="M387" s="42"/>
      <c r="N387" s="30"/>
    </row>
    <row r="388" spans="1:16">
      <c r="A388" s="116" t="s">
        <v>373</v>
      </c>
      <c r="B388" s="26" t="s">
        <v>352</v>
      </c>
      <c r="C388" s="26" t="s">
        <v>85</v>
      </c>
      <c r="D388" s="26" t="s">
        <v>24</v>
      </c>
      <c r="E388" s="26" t="s">
        <v>394</v>
      </c>
      <c r="F388" s="26" t="s">
        <v>244</v>
      </c>
      <c r="G388" s="147"/>
      <c r="H388" s="589"/>
      <c r="I388" s="147"/>
      <c r="J388" s="627">
        <v>7021</v>
      </c>
      <c r="K388" s="627"/>
      <c r="L388" s="627">
        <f>J388+K388</f>
        <v>7021</v>
      </c>
      <c r="M388" s="42"/>
      <c r="N388" s="30"/>
      <c r="O388" s="11">
        <v>7021</v>
      </c>
      <c r="P388" s="15">
        <f>K388</f>
        <v>0</v>
      </c>
    </row>
    <row r="389" spans="1:16" ht="45">
      <c r="A389" s="93" t="s">
        <v>375</v>
      </c>
      <c r="B389" s="26" t="s">
        <v>352</v>
      </c>
      <c r="C389" s="26" t="s">
        <v>85</v>
      </c>
      <c r="D389" s="26" t="s">
        <v>24</v>
      </c>
      <c r="E389" s="26" t="s">
        <v>395</v>
      </c>
      <c r="F389" s="26"/>
      <c r="G389" s="147"/>
      <c r="H389" s="589"/>
      <c r="I389" s="147"/>
      <c r="J389" s="627">
        <f>J390</f>
        <v>3840</v>
      </c>
      <c r="K389" s="627">
        <f>K390</f>
        <v>0</v>
      </c>
      <c r="L389" s="627">
        <f>L390</f>
        <v>3840</v>
      </c>
      <c r="M389" s="42"/>
      <c r="N389" s="30"/>
    </row>
    <row r="390" spans="1:16">
      <c r="A390" s="110" t="s">
        <v>243</v>
      </c>
      <c r="B390" s="26" t="s">
        <v>352</v>
      </c>
      <c r="C390" s="26" t="s">
        <v>85</v>
      </c>
      <c r="D390" s="26" t="s">
        <v>24</v>
      </c>
      <c r="E390" s="26" t="s">
        <v>395</v>
      </c>
      <c r="F390" s="26" t="s">
        <v>244</v>
      </c>
      <c r="G390" s="147"/>
      <c r="H390" s="589"/>
      <c r="I390" s="147"/>
      <c r="J390" s="627">
        <v>3840</v>
      </c>
      <c r="K390" s="627"/>
      <c r="L390" s="627">
        <f>J390+K390</f>
        <v>3840</v>
      </c>
      <c r="M390" s="42"/>
      <c r="N390" s="30"/>
      <c r="O390" s="11">
        <v>3840</v>
      </c>
      <c r="P390" s="15">
        <f>K390</f>
        <v>0</v>
      </c>
    </row>
    <row r="391" spans="1:16" ht="60">
      <c r="A391" s="110" t="s">
        <v>388</v>
      </c>
      <c r="B391" s="26" t="s">
        <v>352</v>
      </c>
      <c r="C391" s="26" t="s">
        <v>85</v>
      </c>
      <c r="D391" s="26" t="s">
        <v>24</v>
      </c>
      <c r="E391" s="26" t="s">
        <v>396</v>
      </c>
      <c r="F391" s="26"/>
      <c r="G391" s="147"/>
      <c r="H391" s="589"/>
      <c r="I391" s="147"/>
      <c r="J391" s="627">
        <f>J393+J392</f>
        <v>230</v>
      </c>
      <c r="K391" s="627">
        <f>K393+K392</f>
        <v>0</v>
      </c>
      <c r="L391" s="627">
        <f>L393+L392</f>
        <v>230</v>
      </c>
      <c r="M391" s="42"/>
      <c r="N391" s="30"/>
    </row>
    <row r="392" spans="1:16">
      <c r="A392" s="110" t="s">
        <v>243</v>
      </c>
      <c r="B392" s="26" t="s">
        <v>352</v>
      </c>
      <c r="C392" s="26" t="s">
        <v>85</v>
      </c>
      <c r="D392" s="26" t="s">
        <v>24</v>
      </c>
      <c r="E392" s="26" t="s">
        <v>396</v>
      </c>
      <c r="F392" s="26" t="s">
        <v>244</v>
      </c>
      <c r="G392" s="147"/>
      <c r="H392" s="589"/>
      <c r="I392" s="147"/>
      <c r="J392" s="627">
        <f>134.9</f>
        <v>134.9</v>
      </c>
      <c r="K392" s="627"/>
      <c r="L392" s="627">
        <f>K392+J392</f>
        <v>134.9</v>
      </c>
      <c r="M392" s="42"/>
      <c r="N392" s="30"/>
    </row>
    <row r="393" spans="1:16">
      <c r="A393" s="110" t="s">
        <v>243</v>
      </c>
      <c r="B393" s="26" t="s">
        <v>352</v>
      </c>
      <c r="C393" s="26" t="s">
        <v>85</v>
      </c>
      <c r="D393" s="26" t="s">
        <v>24</v>
      </c>
      <c r="E393" s="26" t="s">
        <v>397</v>
      </c>
      <c r="F393" s="26" t="s">
        <v>244</v>
      </c>
      <c r="G393" s="147"/>
      <c r="H393" s="589"/>
      <c r="I393" s="147"/>
      <c r="J393" s="627">
        <f>230-134.9</f>
        <v>95.1</v>
      </c>
      <c r="K393" s="627"/>
      <c r="L393" s="627">
        <f>J393+K393</f>
        <v>95.1</v>
      </c>
      <c r="M393" s="42"/>
      <c r="N393" s="30"/>
      <c r="O393" s="11">
        <v>230</v>
      </c>
      <c r="P393" s="15">
        <f>K393</f>
        <v>0</v>
      </c>
    </row>
    <row r="394" spans="1:16" ht="30">
      <c r="A394" s="93" t="s">
        <v>398</v>
      </c>
      <c r="B394" s="26" t="s">
        <v>352</v>
      </c>
      <c r="C394" s="26" t="s">
        <v>85</v>
      </c>
      <c r="D394" s="26" t="s">
        <v>24</v>
      </c>
      <c r="E394" s="26" t="s">
        <v>399</v>
      </c>
      <c r="F394" s="26"/>
      <c r="G394" s="147">
        <f t="shared" ref="G394:N394" si="126">G395</f>
        <v>206</v>
      </c>
      <c r="H394" s="147">
        <f t="shared" si="126"/>
        <v>0</v>
      </c>
      <c r="I394" s="147">
        <f t="shared" si="126"/>
        <v>0</v>
      </c>
      <c r="J394" s="627">
        <f t="shared" si="126"/>
        <v>327</v>
      </c>
      <c r="K394" s="627">
        <f t="shared" si="126"/>
        <v>0</v>
      </c>
      <c r="L394" s="627">
        <f t="shared" si="126"/>
        <v>327</v>
      </c>
      <c r="M394" s="42">
        <f t="shared" si="126"/>
        <v>0</v>
      </c>
      <c r="N394" s="43">
        <f t="shared" si="126"/>
        <v>327</v>
      </c>
    </row>
    <row r="395" spans="1:16">
      <c r="A395" s="110" t="s">
        <v>243</v>
      </c>
      <c r="B395" s="26" t="s">
        <v>352</v>
      </c>
      <c r="C395" s="26" t="s">
        <v>85</v>
      </c>
      <c r="D395" s="26" t="s">
        <v>24</v>
      </c>
      <c r="E395" s="26" t="s">
        <v>399</v>
      </c>
      <c r="F395" s="26" t="s">
        <v>244</v>
      </c>
      <c r="G395" s="147">
        <f>206</f>
        <v>206</v>
      </c>
      <c r="H395" s="589"/>
      <c r="I395" s="147"/>
      <c r="J395" s="627">
        <v>327</v>
      </c>
      <c r="K395" s="627"/>
      <c r="L395" s="627">
        <f>J395+K395</f>
        <v>327</v>
      </c>
      <c r="M395" s="42"/>
      <c r="N395" s="30">
        <f>L395+M395</f>
        <v>327</v>
      </c>
      <c r="O395" s="11">
        <v>327</v>
      </c>
      <c r="P395" s="15">
        <f>K395</f>
        <v>0</v>
      </c>
    </row>
    <row r="396" spans="1:16" ht="42" customHeight="1">
      <c r="A396" s="31" t="s">
        <v>400</v>
      </c>
      <c r="B396" s="26" t="s">
        <v>352</v>
      </c>
      <c r="C396" s="26" t="s">
        <v>85</v>
      </c>
      <c r="D396" s="26" t="s">
        <v>24</v>
      </c>
      <c r="E396" s="26" t="s">
        <v>401</v>
      </c>
      <c r="F396" s="26"/>
      <c r="G396" s="592">
        <f t="shared" ref="G396:N396" si="127">G397</f>
        <v>99.15607</v>
      </c>
      <c r="H396" s="592">
        <f t="shared" si="127"/>
        <v>0</v>
      </c>
      <c r="I396" s="592">
        <f t="shared" si="127"/>
        <v>0</v>
      </c>
      <c r="J396" s="627">
        <f t="shared" si="127"/>
        <v>897</v>
      </c>
      <c r="K396" s="627">
        <f t="shared" si="127"/>
        <v>0</v>
      </c>
      <c r="L396" s="627">
        <f t="shared" si="127"/>
        <v>897</v>
      </c>
      <c r="M396" s="28">
        <f t="shared" si="127"/>
        <v>0</v>
      </c>
      <c r="N396" s="55">
        <f t="shared" si="127"/>
        <v>897</v>
      </c>
    </row>
    <row r="397" spans="1:16" ht="16.5" customHeight="1">
      <c r="A397" s="110" t="s">
        <v>243</v>
      </c>
      <c r="B397" s="26" t="s">
        <v>352</v>
      </c>
      <c r="C397" s="26" t="s">
        <v>85</v>
      </c>
      <c r="D397" s="26" t="s">
        <v>24</v>
      </c>
      <c r="E397" s="26" t="s">
        <v>401</v>
      </c>
      <c r="F397" s="26" t="s">
        <v>244</v>
      </c>
      <c r="G397" s="592">
        <f>9.15607+90</f>
        <v>99.15607</v>
      </c>
      <c r="H397" s="589"/>
      <c r="I397" s="592"/>
      <c r="J397" s="627">
        <v>897</v>
      </c>
      <c r="K397" s="627"/>
      <c r="L397" s="627">
        <f>J397+K397</f>
        <v>897</v>
      </c>
      <c r="M397" s="28"/>
      <c r="N397" s="30">
        <f>L397+M397</f>
        <v>897</v>
      </c>
      <c r="O397" s="11">
        <v>897</v>
      </c>
      <c r="P397" s="15">
        <f>K397</f>
        <v>0</v>
      </c>
    </row>
    <row r="398" spans="1:16" ht="78" customHeight="1">
      <c r="A398" s="93" t="s">
        <v>402</v>
      </c>
      <c r="B398" s="26" t="s">
        <v>352</v>
      </c>
      <c r="C398" s="26" t="s">
        <v>85</v>
      </c>
      <c r="D398" s="26" t="s">
        <v>24</v>
      </c>
      <c r="E398" s="26" t="s">
        <v>403</v>
      </c>
      <c r="F398" s="26"/>
      <c r="G398" s="589">
        <f t="shared" ref="G398:N398" si="128">G399</f>
        <v>3526.3411700000001</v>
      </c>
      <c r="H398" s="589">
        <f t="shared" si="128"/>
        <v>0</v>
      </c>
      <c r="I398" s="589">
        <f t="shared" si="128"/>
        <v>0</v>
      </c>
      <c r="J398" s="627">
        <f t="shared" si="128"/>
        <v>7042</v>
      </c>
      <c r="K398" s="627">
        <f t="shared" si="128"/>
        <v>0</v>
      </c>
      <c r="L398" s="627">
        <f t="shared" si="128"/>
        <v>7042</v>
      </c>
      <c r="M398" s="29">
        <f t="shared" si="128"/>
        <v>0</v>
      </c>
      <c r="N398" s="30">
        <f t="shared" si="128"/>
        <v>7042</v>
      </c>
    </row>
    <row r="399" spans="1:16" ht="16.5" customHeight="1">
      <c r="A399" s="110" t="s">
        <v>243</v>
      </c>
      <c r="B399" s="26" t="s">
        <v>352</v>
      </c>
      <c r="C399" s="26" t="s">
        <v>85</v>
      </c>
      <c r="D399" s="26" t="s">
        <v>24</v>
      </c>
      <c r="E399" s="26" t="s">
        <v>403</v>
      </c>
      <c r="F399" s="26" t="s">
        <v>244</v>
      </c>
      <c r="G399" s="589">
        <f>13.34117+3513</f>
        <v>3526.3411700000001</v>
      </c>
      <c r="H399" s="589"/>
      <c r="I399" s="589"/>
      <c r="J399" s="627">
        <v>7042</v>
      </c>
      <c r="K399" s="627"/>
      <c r="L399" s="627">
        <f>J399+K399</f>
        <v>7042</v>
      </c>
      <c r="M399" s="29"/>
      <c r="N399" s="30">
        <f>L399+M399</f>
        <v>7042</v>
      </c>
      <c r="O399" s="11">
        <v>7042</v>
      </c>
      <c r="P399" s="15">
        <f>K399</f>
        <v>0</v>
      </c>
    </row>
    <row r="400" spans="1:16" ht="29.25" customHeight="1">
      <c r="A400" s="31" t="s">
        <v>404</v>
      </c>
      <c r="B400" s="26" t="s">
        <v>352</v>
      </c>
      <c r="C400" s="26" t="s">
        <v>85</v>
      </c>
      <c r="D400" s="26" t="s">
        <v>24</v>
      </c>
      <c r="E400" s="26" t="s">
        <v>405</v>
      </c>
      <c r="F400" s="26"/>
      <c r="G400" s="592">
        <f t="shared" ref="G400:N400" si="129">G401</f>
        <v>796.46933000000001</v>
      </c>
      <c r="H400" s="592">
        <f t="shared" si="129"/>
        <v>0</v>
      </c>
      <c r="I400" s="592">
        <f t="shared" si="129"/>
        <v>0</v>
      </c>
      <c r="J400" s="627">
        <f t="shared" si="129"/>
        <v>2592</v>
      </c>
      <c r="K400" s="627">
        <f t="shared" si="129"/>
        <v>0</v>
      </c>
      <c r="L400" s="627">
        <f t="shared" si="129"/>
        <v>2592</v>
      </c>
      <c r="M400" s="28">
        <f t="shared" si="129"/>
        <v>0</v>
      </c>
      <c r="N400" s="55">
        <f t="shared" si="129"/>
        <v>2592</v>
      </c>
    </row>
    <row r="401" spans="1:20">
      <c r="A401" s="110" t="s">
        <v>243</v>
      </c>
      <c r="B401" s="26" t="s">
        <v>352</v>
      </c>
      <c r="C401" s="26" t="s">
        <v>85</v>
      </c>
      <c r="D401" s="26" t="s">
        <v>24</v>
      </c>
      <c r="E401" s="26" t="s">
        <v>405</v>
      </c>
      <c r="F401" s="26" t="s">
        <v>244</v>
      </c>
      <c r="G401" s="592">
        <f>0.46933+796</f>
        <v>796.46933000000001</v>
      </c>
      <c r="H401" s="589"/>
      <c r="I401" s="592"/>
      <c r="J401" s="627">
        <v>2592</v>
      </c>
      <c r="K401" s="627"/>
      <c r="L401" s="627">
        <f>J401+K401</f>
        <v>2592</v>
      </c>
      <c r="M401" s="28"/>
      <c r="N401" s="30">
        <f>L401+M401</f>
        <v>2592</v>
      </c>
      <c r="O401" s="11">
        <v>3129</v>
      </c>
      <c r="P401" s="15">
        <f>K401</f>
        <v>0</v>
      </c>
    </row>
    <row r="402" spans="1:20" ht="30">
      <c r="A402" s="110" t="s">
        <v>406</v>
      </c>
      <c r="B402" s="26" t="s">
        <v>352</v>
      </c>
      <c r="C402" s="26" t="s">
        <v>85</v>
      </c>
      <c r="D402" s="26" t="s">
        <v>24</v>
      </c>
      <c r="E402" s="26" t="s">
        <v>407</v>
      </c>
      <c r="F402" s="26"/>
      <c r="G402" s="147">
        <f t="shared" ref="G402:N402" si="130">G403</f>
        <v>-796</v>
      </c>
      <c r="H402" s="147">
        <f t="shared" si="130"/>
        <v>1054.3</v>
      </c>
      <c r="I402" s="147">
        <f t="shared" si="130"/>
        <v>0</v>
      </c>
      <c r="J402" s="627">
        <f t="shared" si="130"/>
        <v>440.98599999999999</v>
      </c>
      <c r="K402" s="627">
        <f>K403+K405</f>
        <v>0</v>
      </c>
      <c r="L402" s="627">
        <f t="shared" si="130"/>
        <v>440.98599999999999</v>
      </c>
      <c r="M402" s="42">
        <f t="shared" si="130"/>
        <v>122</v>
      </c>
      <c r="N402" s="43">
        <f t="shared" si="130"/>
        <v>562.98599999999999</v>
      </c>
    </row>
    <row r="403" spans="1:20">
      <c r="A403" s="110" t="s">
        <v>243</v>
      </c>
      <c r="B403" s="26" t="s">
        <v>352</v>
      </c>
      <c r="C403" s="26" t="s">
        <v>85</v>
      </c>
      <c r="D403" s="26" t="s">
        <v>24</v>
      </c>
      <c r="E403" s="26" t="s">
        <v>407</v>
      </c>
      <c r="F403" s="26" t="s">
        <v>244</v>
      </c>
      <c r="G403" s="147">
        <v>-796</v>
      </c>
      <c r="H403" s="589">
        <v>1054.3</v>
      </c>
      <c r="I403" s="147"/>
      <c r="J403" s="627">
        <v>440.98599999999999</v>
      </c>
      <c r="K403" s="627"/>
      <c r="L403" s="627">
        <f>J403+K403</f>
        <v>440.98599999999999</v>
      </c>
      <c r="M403" s="42">
        <f>122</f>
        <v>122</v>
      </c>
      <c r="N403" s="30">
        <f>L403+M403</f>
        <v>562.98599999999999</v>
      </c>
      <c r="O403" s="44">
        <v>228</v>
      </c>
      <c r="P403" s="15">
        <f>L403-O403</f>
        <v>212.98599999999999</v>
      </c>
    </row>
    <row r="404" spans="1:20" ht="27.75" hidden="1" customHeight="1">
      <c r="A404" s="110" t="s">
        <v>408</v>
      </c>
      <c r="B404" s="26" t="s">
        <v>352</v>
      </c>
      <c r="C404" s="26" t="s">
        <v>85</v>
      </c>
      <c r="D404" s="26" t="s">
        <v>24</v>
      </c>
      <c r="E404" s="26" t="s">
        <v>409</v>
      </c>
      <c r="F404" s="26"/>
      <c r="G404" s="147">
        <f t="shared" ref="G404:N405" si="131">G405</f>
        <v>-3513</v>
      </c>
      <c r="H404" s="147">
        <f t="shared" si="131"/>
        <v>3681.6</v>
      </c>
      <c r="I404" s="147">
        <f t="shared" si="131"/>
        <v>0</v>
      </c>
      <c r="J404" s="627">
        <f t="shared" si="131"/>
        <v>0</v>
      </c>
      <c r="K404" s="627"/>
      <c r="L404" s="627">
        <f t="shared" si="131"/>
        <v>0</v>
      </c>
      <c r="M404" s="42">
        <f t="shared" si="131"/>
        <v>0</v>
      </c>
      <c r="N404" s="43">
        <f t="shared" si="131"/>
        <v>0</v>
      </c>
    </row>
    <row r="405" spans="1:20" ht="29.25" customHeight="1">
      <c r="A405" s="110" t="s">
        <v>406</v>
      </c>
      <c r="B405" s="26" t="s">
        <v>352</v>
      </c>
      <c r="C405" s="26" t="s">
        <v>85</v>
      </c>
      <c r="D405" s="26" t="s">
        <v>24</v>
      </c>
      <c r="E405" s="26" t="s">
        <v>410</v>
      </c>
      <c r="F405" s="26"/>
      <c r="G405" s="147">
        <f t="shared" si="131"/>
        <v>-3513</v>
      </c>
      <c r="H405" s="147">
        <f t="shared" si="131"/>
        <v>3681.6</v>
      </c>
      <c r="I405" s="147">
        <f t="shared" si="131"/>
        <v>0</v>
      </c>
      <c r="J405" s="627">
        <f t="shared" si="131"/>
        <v>0</v>
      </c>
      <c r="K405" s="627">
        <f t="shared" si="131"/>
        <v>0</v>
      </c>
      <c r="L405" s="627">
        <f t="shared" si="131"/>
        <v>0</v>
      </c>
      <c r="M405" s="42">
        <f t="shared" si="131"/>
        <v>0</v>
      </c>
      <c r="N405" s="43">
        <f t="shared" si="131"/>
        <v>0</v>
      </c>
    </row>
    <row r="406" spans="1:20" ht="15.75" customHeight="1">
      <c r="A406" s="110" t="s">
        <v>243</v>
      </c>
      <c r="B406" s="26" t="s">
        <v>352</v>
      </c>
      <c r="C406" s="26" t="s">
        <v>85</v>
      </c>
      <c r="D406" s="26" t="s">
        <v>24</v>
      </c>
      <c r="E406" s="26" t="s">
        <v>410</v>
      </c>
      <c r="F406" s="26" t="s">
        <v>244</v>
      </c>
      <c r="G406" s="147">
        <v>-3513</v>
      </c>
      <c r="H406" s="589">
        <v>3681.6</v>
      </c>
      <c r="I406" s="147"/>
      <c r="J406" s="627">
        <v>0</v>
      </c>
      <c r="K406" s="627"/>
      <c r="L406" s="627">
        <f>J406+K406</f>
        <v>0</v>
      </c>
      <c r="M406" s="42"/>
      <c r="N406" s="30">
        <f>L406+M406</f>
        <v>0</v>
      </c>
    </row>
    <row r="407" spans="1:20" s="113" customFormat="1" ht="28.5">
      <c r="A407" s="119" t="s">
        <v>92</v>
      </c>
      <c r="B407" s="25" t="s">
        <v>352</v>
      </c>
      <c r="C407" s="25" t="s">
        <v>85</v>
      </c>
      <c r="D407" s="25" t="s">
        <v>30</v>
      </c>
      <c r="E407" s="25"/>
      <c r="F407" s="25"/>
      <c r="G407" s="568">
        <f t="shared" ref="G407:M407" si="132">G410+G414+G408</f>
        <v>75</v>
      </c>
      <c r="H407" s="568">
        <f t="shared" si="132"/>
        <v>1158.1000000000001</v>
      </c>
      <c r="I407" s="568">
        <f t="shared" si="132"/>
        <v>0</v>
      </c>
      <c r="J407" s="488">
        <f t="shared" si="132"/>
        <v>1993.93</v>
      </c>
      <c r="K407" s="488">
        <f t="shared" si="132"/>
        <v>-76</v>
      </c>
      <c r="L407" s="488">
        <f t="shared" si="132"/>
        <v>1917.93</v>
      </c>
      <c r="M407" s="570">
        <f t="shared" si="132"/>
        <v>-169</v>
      </c>
      <c r="N407" s="96">
        <f>N410+N414+N408</f>
        <v>1549.75</v>
      </c>
    </row>
    <row r="408" spans="1:20" s="113" customFormat="1" ht="78.75" customHeight="1">
      <c r="A408" s="31" t="s">
        <v>359</v>
      </c>
      <c r="B408" s="26" t="s">
        <v>352</v>
      </c>
      <c r="C408" s="26" t="s">
        <v>85</v>
      </c>
      <c r="D408" s="26" t="s">
        <v>30</v>
      </c>
      <c r="E408" s="26" t="s">
        <v>360</v>
      </c>
      <c r="F408" s="26"/>
      <c r="G408" s="147">
        <f t="shared" ref="G408:N408" si="133">G409</f>
        <v>912</v>
      </c>
      <c r="H408" s="147">
        <f t="shared" si="133"/>
        <v>0</v>
      </c>
      <c r="I408" s="147">
        <f t="shared" si="133"/>
        <v>0</v>
      </c>
      <c r="J408" s="627">
        <f t="shared" si="133"/>
        <v>1417</v>
      </c>
      <c r="K408" s="627">
        <f t="shared" si="133"/>
        <v>-100</v>
      </c>
      <c r="L408" s="627">
        <f t="shared" si="133"/>
        <v>1317</v>
      </c>
      <c r="M408" s="42">
        <f t="shared" si="133"/>
        <v>-250</v>
      </c>
      <c r="N408" s="43">
        <f t="shared" si="133"/>
        <v>1067</v>
      </c>
    </row>
    <row r="409" spans="1:20" s="113" customFormat="1" ht="30">
      <c r="A409" s="31" t="s">
        <v>135</v>
      </c>
      <c r="B409" s="26" t="s">
        <v>352</v>
      </c>
      <c r="C409" s="26" t="s">
        <v>85</v>
      </c>
      <c r="D409" s="26" t="s">
        <v>30</v>
      </c>
      <c r="E409" s="26" t="s">
        <v>360</v>
      </c>
      <c r="F409" s="26" t="s">
        <v>133</v>
      </c>
      <c r="G409" s="147">
        <f>950-38</f>
        <v>912</v>
      </c>
      <c r="H409" s="589"/>
      <c r="I409" s="147"/>
      <c r="J409" s="627">
        <v>1417</v>
      </c>
      <c r="K409" s="627">
        <v>-100</v>
      </c>
      <c r="L409" s="627">
        <f>J409+K409</f>
        <v>1317</v>
      </c>
      <c r="M409" s="42">
        <f>-250</f>
        <v>-250</v>
      </c>
      <c r="N409" s="30">
        <f>L409+M409</f>
        <v>1067</v>
      </c>
      <c r="O409" s="146">
        <f>L409+L347</f>
        <v>9396.5600000000013</v>
      </c>
      <c r="P409" s="146">
        <f>K347</f>
        <v>376.3</v>
      </c>
      <c r="R409" s="146">
        <f>L409+L347</f>
        <v>9396.5600000000013</v>
      </c>
    </row>
    <row r="410" spans="1:20" ht="30">
      <c r="A410" s="116" t="s">
        <v>411</v>
      </c>
      <c r="B410" s="26" t="s">
        <v>352</v>
      </c>
      <c r="C410" s="26" t="s">
        <v>85</v>
      </c>
      <c r="D410" s="26" t="s">
        <v>30</v>
      </c>
      <c r="E410" s="26" t="s">
        <v>191</v>
      </c>
      <c r="F410" s="26"/>
      <c r="G410" s="147">
        <f t="shared" ref="G410:N411" si="134">G411</f>
        <v>-912</v>
      </c>
      <c r="H410" s="147">
        <f t="shared" si="134"/>
        <v>1095.22</v>
      </c>
      <c r="I410" s="147">
        <f t="shared" si="134"/>
        <v>0</v>
      </c>
      <c r="J410" s="627">
        <f>J411</f>
        <v>175.18</v>
      </c>
      <c r="K410" s="627">
        <f t="shared" si="134"/>
        <v>23.999999999999996</v>
      </c>
      <c r="L410" s="627">
        <f t="shared" si="134"/>
        <v>199.18</v>
      </c>
      <c r="M410" s="42">
        <f t="shared" si="134"/>
        <v>41</v>
      </c>
      <c r="N410" s="43">
        <f t="shared" si="134"/>
        <v>41</v>
      </c>
    </row>
    <row r="411" spans="1:20">
      <c r="A411" s="116" t="s">
        <v>192</v>
      </c>
      <c r="B411" s="26" t="s">
        <v>352</v>
      </c>
      <c r="C411" s="26" t="s">
        <v>85</v>
      </c>
      <c r="D411" s="26" t="s">
        <v>30</v>
      </c>
      <c r="E411" s="26" t="s">
        <v>193</v>
      </c>
      <c r="F411" s="26"/>
      <c r="G411" s="147">
        <f t="shared" si="134"/>
        <v>-912</v>
      </c>
      <c r="H411" s="147">
        <f t="shared" si="134"/>
        <v>1095.22</v>
      </c>
      <c r="I411" s="147">
        <f t="shared" si="134"/>
        <v>0</v>
      </c>
      <c r="J411" s="627">
        <f>J412+J413</f>
        <v>175.18</v>
      </c>
      <c r="K411" s="627">
        <f>K412+K413</f>
        <v>23.999999999999996</v>
      </c>
      <c r="L411" s="627">
        <f>L412+L413</f>
        <v>199.18</v>
      </c>
      <c r="M411" s="42">
        <f t="shared" si="134"/>
        <v>41</v>
      </c>
      <c r="N411" s="43">
        <f t="shared" si="134"/>
        <v>41</v>
      </c>
    </row>
    <row r="412" spans="1:20" ht="30" hidden="1">
      <c r="A412" s="110" t="s">
        <v>141</v>
      </c>
      <c r="B412" s="26" t="s">
        <v>352</v>
      </c>
      <c r="C412" s="26" t="s">
        <v>85</v>
      </c>
      <c r="D412" s="26" t="s">
        <v>30</v>
      </c>
      <c r="E412" s="26" t="s">
        <v>193</v>
      </c>
      <c r="F412" s="26" t="s">
        <v>234</v>
      </c>
      <c r="G412" s="147">
        <f>-950+38</f>
        <v>-912</v>
      </c>
      <c r="H412" s="589">
        <v>1095.22</v>
      </c>
      <c r="I412" s="147"/>
      <c r="J412" s="627"/>
      <c r="K412" s="627"/>
      <c r="L412" s="627">
        <f>J412+K412</f>
        <v>0</v>
      </c>
      <c r="M412" s="42">
        <f>-9+50</f>
        <v>41</v>
      </c>
      <c r="N412" s="30">
        <f>L412+M412</f>
        <v>41</v>
      </c>
    </row>
    <row r="413" spans="1:20" ht="30">
      <c r="A413" s="31" t="s">
        <v>135</v>
      </c>
      <c r="B413" s="26" t="s">
        <v>352</v>
      </c>
      <c r="C413" s="26" t="s">
        <v>85</v>
      </c>
      <c r="D413" s="26" t="s">
        <v>30</v>
      </c>
      <c r="E413" s="26" t="s">
        <v>193</v>
      </c>
      <c r="F413" s="26" t="s">
        <v>133</v>
      </c>
      <c r="G413" s="147"/>
      <c r="H413" s="589"/>
      <c r="I413" s="147"/>
      <c r="J413" s="627">
        <v>175.18</v>
      </c>
      <c r="K413" s="627">
        <f>49.254-25.254</f>
        <v>23.999999999999996</v>
      </c>
      <c r="L413" s="627">
        <f>J413+K413</f>
        <v>199.18</v>
      </c>
      <c r="M413" s="42"/>
      <c r="N413" s="30"/>
      <c r="O413" s="44">
        <f>175.411+1.58+1.64</f>
        <v>178.631</v>
      </c>
      <c r="P413" s="45">
        <f>L413-O413</f>
        <v>20.549000000000007</v>
      </c>
      <c r="S413" s="11">
        <v>174.11</v>
      </c>
      <c r="T413" s="156">
        <f>L413+L354</f>
        <v>674.62300000000005</v>
      </c>
    </row>
    <row r="414" spans="1:20" ht="30">
      <c r="A414" s="110" t="s">
        <v>412</v>
      </c>
      <c r="B414" s="26" t="s">
        <v>352</v>
      </c>
      <c r="C414" s="26" t="s">
        <v>85</v>
      </c>
      <c r="D414" s="26" t="s">
        <v>30</v>
      </c>
      <c r="E414" s="26" t="s">
        <v>413</v>
      </c>
      <c r="F414" s="26"/>
      <c r="G414" s="147">
        <f t="shared" ref="G414:M414" si="135">G415+G417</f>
        <v>75</v>
      </c>
      <c r="H414" s="147">
        <f t="shared" si="135"/>
        <v>62.88</v>
      </c>
      <c r="I414" s="147">
        <f t="shared" si="135"/>
        <v>0</v>
      </c>
      <c r="J414" s="627">
        <f t="shared" si="135"/>
        <v>401.75</v>
      </c>
      <c r="K414" s="627">
        <f t="shared" si="135"/>
        <v>0</v>
      </c>
      <c r="L414" s="627">
        <f t="shared" si="135"/>
        <v>401.75</v>
      </c>
      <c r="M414" s="42">
        <f t="shared" si="135"/>
        <v>40</v>
      </c>
      <c r="N414" s="30">
        <f>N415+N417</f>
        <v>441.75</v>
      </c>
    </row>
    <row r="415" spans="1:20" ht="39">
      <c r="A415" s="157" t="s">
        <v>414</v>
      </c>
      <c r="B415" s="26" t="s">
        <v>352</v>
      </c>
      <c r="C415" s="26" t="s">
        <v>85</v>
      </c>
      <c r="D415" s="26" t="s">
        <v>30</v>
      </c>
      <c r="E415" s="26" t="s">
        <v>415</v>
      </c>
      <c r="F415" s="26"/>
      <c r="G415" s="147">
        <f t="shared" ref="G415:N415" si="136">G416</f>
        <v>35</v>
      </c>
      <c r="H415" s="147">
        <f t="shared" si="136"/>
        <v>62.88</v>
      </c>
      <c r="I415" s="147">
        <f t="shared" si="136"/>
        <v>0</v>
      </c>
      <c r="J415" s="627">
        <f t="shared" si="136"/>
        <v>321.75</v>
      </c>
      <c r="K415" s="627">
        <f t="shared" si="136"/>
        <v>0</v>
      </c>
      <c r="L415" s="627">
        <f t="shared" si="136"/>
        <v>321.75</v>
      </c>
      <c r="M415" s="42">
        <f t="shared" si="136"/>
        <v>40</v>
      </c>
      <c r="N415" s="43">
        <f t="shared" si="136"/>
        <v>361.75</v>
      </c>
    </row>
    <row r="416" spans="1:20" ht="30">
      <c r="A416" s="110" t="s">
        <v>416</v>
      </c>
      <c r="B416" s="26" t="s">
        <v>352</v>
      </c>
      <c r="C416" s="26" t="s">
        <v>85</v>
      </c>
      <c r="D416" s="26" t="s">
        <v>30</v>
      </c>
      <c r="E416" s="26" t="s">
        <v>415</v>
      </c>
      <c r="F416" s="26" t="s">
        <v>417</v>
      </c>
      <c r="G416" s="147">
        <f>15.4+19.6</f>
        <v>35</v>
      </c>
      <c r="H416" s="589">
        <v>62.88</v>
      </c>
      <c r="I416" s="147"/>
      <c r="J416" s="627">
        <v>321.75</v>
      </c>
      <c r="K416" s="627"/>
      <c r="L416" s="627">
        <f>J416+K416</f>
        <v>321.75</v>
      </c>
      <c r="M416" s="42">
        <f>40</f>
        <v>40</v>
      </c>
      <c r="N416" s="30">
        <f>L416+M416</f>
        <v>361.75</v>
      </c>
      <c r="O416" s="44"/>
    </row>
    <row r="417" spans="1:18" ht="42" customHeight="1">
      <c r="A417" s="110" t="s">
        <v>418</v>
      </c>
      <c r="B417" s="26" t="s">
        <v>352</v>
      </c>
      <c r="C417" s="26" t="s">
        <v>85</v>
      </c>
      <c r="D417" s="26" t="s">
        <v>30</v>
      </c>
      <c r="E417" s="26" t="s">
        <v>419</v>
      </c>
      <c r="F417" s="26"/>
      <c r="G417" s="147">
        <f t="shared" ref="G417:N417" si="137">G418</f>
        <v>40</v>
      </c>
      <c r="H417" s="589">
        <f t="shared" si="137"/>
        <v>0</v>
      </c>
      <c r="I417" s="147">
        <f t="shared" si="137"/>
        <v>0</v>
      </c>
      <c r="J417" s="627">
        <f t="shared" si="137"/>
        <v>80</v>
      </c>
      <c r="K417" s="627">
        <f t="shared" si="137"/>
        <v>0</v>
      </c>
      <c r="L417" s="627">
        <f t="shared" si="137"/>
        <v>80</v>
      </c>
      <c r="M417" s="42">
        <f t="shared" si="137"/>
        <v>0</v>
      </c>
      <c r="N417" s="30">
        <f t="shared" si="137"/>
        <v>80</v>
      </c>
    </row>
    <row r="418" spans="1:18" ht="30">
      <c r="A418" s="110" t="s">
        <v>416</v>
      </c>
      <c r="B418" s="26" t="s">
        <v>352</v>
      </c>
      <c r="C418" s="26" t="s">
        <v>85</v>
      </c>
      <c r="D418" s="26" t="s">
        <v>30</v>
      </c>
      <c r="E418" s="26" t="s">
        <v>419</v>
      </c>
      <c r="F418" s="26" t="s">
        <v>417</v>
      </c>
      <c r="G418" s="147">
        <v>40</v>
      </c>
      <c r="H418" s="589"/>
      <c r="I418" s="147"/>
      <c r="J418" s="627">
        <v>80</v>
      </c>
      <c r="K418" s="627"/>
      <c r="L418" s="627">
        <f>J418+K418</f>
        <v>80</v>
      </c>
      <c r="M418" s="42"/>
      <c r="N418" s="30">
        <f>L418+M418</f>
        <v>80</v>
      </c>
      <c r="O418" s="44"/>
    </row>
    <row r="419" spans="1:18" ht="15.75" hidden="1" thickBot="1">
      <c r="A419" s="594" t="s">
        <v>420</v>
      </c>
      <c r="B419" s="209" t="s">
        <v>421</v>
      </c>
      <c r="C419" s="209"/>
      <c r="D419" s="209"/>
      <c r="E419" s="209"/>
      <c r="F419" s="209"/>
      <c r="G419" s="211">
        <f t="shared" ref="G419:N420" si="138">G420</f>
        <v>0</v>
      </c>
      <c r="H419" s="211">
        <f t="shared" si="138"/>
        <v>526.1</v>
      </c>
      <c r="I419" s="211">
        <f t="shared" si="138"/>
        <v>0</v>
      </c>
      <c r="J419" s="625">
        <f t="shared" si="138"/>
        <v>0</v>
      </c>
      <c r="K419" s="625">
        <f t="shared" si="138"/>
        <v>0</v>
      </c>
      <c r="L419" s="625">
        <f t="shared" si="138"/>
        <v>0</v>
      </c>
      <c r="M419" s="89">
        <f t="shared" si="138"/>
        <v>0</v>
      </c>
      <c r="N419" s="90">
        <f t="shared" si="138"/>
        <v>0</v>
      </c>
    </row>
    <row r="420" spans="1:18" ht="43.5" hidden="1">
      <c r="A420" s="176" t="s">
        <v>43</v>
      </c>
      <c r="B420" s="34" t="s">
        <v>421</v>
      </c>
      <c r="C420" s="34" t="s">
        <v>24</v>
      </c>
      <c r="D420" s="26"/>
      <c r="E420" s="26"/>
      <c r="F420" s="26"/>
      <c r="G420" s="585">
        <f t="shared" si="138"/>
        <v>0</v>
      </c>
      <c r="H420" s="585">
        <f t="shared" si="138"/>
        <v>526.1</v>
      </c>
      <c r="I420" s="585">
        <f t="shared" si="138"/>
        <v>0</v>
      </c>
      <c r="J420" s="379">
        <f t="shared" si="138"/>
        <v>0</v>
      </c>
      <c r="K420" s="379">
        <f t="shared" si="138"/>
        <v>0</v>
      </c>
      <c r="L420" s="379">
        <f t="shared" si="138"/>
        <v>0</v>
      </c>
      <c r="M420" s="106">
        <f t="shared" si="138"/>
        <v>0</v>
      </c>
      <c r="N420" s="107">
        <f t="shared" si="138"/>
        <v>0</v>
      </c>
    </row>
    <row r="421" spans="1:18" s="113" customFormat="1" ht="14.25" hidden="1">
      <c r="A421" s="119" t="s">
        <v>45</v>
      </c>
      <c r="B421" s="25" t="s">
        <v>421</v>
      </c>
      <c r="C421" s="25" t="s">
        <v>24</v>
      </c>
      <c r="D421" s="25" t="s">
        <v>22</v>
      </c>
      <c r="E421" s="25"/>
      <c r="F421" s="25"/>
      <c r="G421" s="568">
        <f t="shared" ref="G421:M421" si="139">G422+G424</f>
        <v>0</v>
      </c>
      <c r="H421" s="568">
        <f t="shared" si="139"/>
        <v>526.1</v>
      </c>
      <c r="I421" s="568">
        <f t="shared" si="139"/>
        <v>0</v>
      </c>
      <c r="J421" s="488">
        <f t="shared" si="139"/>
        <v>0</v>
      </c>
      <c r="K421" s="488">
        <f t="shared" si="139"/>
        <v>0</v>
      </c>
      <c r="L421" s="488">
        <f t="shared" si="139"/>
        <v>0</v>
      </c>
      <c r="M421" s="570">
        <f t="shared" si="139"/>
        <v>0</v>
      </c>
      <c r="N421" s="96">
        <f>N422+N424</f>
        <v>0</v>
      </c>
    </row>
    <row r="422" spans="1:18" ht="60" hidden="1">
      <c r="A422" s="116" t="s">
        <v>422</v>
      </c>
      <c r="B422" s="26" t="s">
        <v>421</v>
      </c>
      <c r="C422" s="26" t="s">
        <v>24</v>
      </c>
      <c r="D422" s="26" t="s">
        <v>22</v>
      </c>
      <c r="E422" s="26" t="s">
        <v>301</v>
      </c>
      <c r="F422" s="26"/>
      <c r="G422" s="147">
        <f t="shared" ref="G422:N422" si="140">G423</f>
        <v>0</v>
      </c>
      <c r="H422" s="147">
        <f t="shared" si="140"/>
        <v>316.5</v>
      </c>
      <c r="I422" s="147">
        <f t="shared" si="140"/>
        <v>0</v>
      </c>
      <c r="J422" s="627">
        <f t="shared" si="140"/>
        <v>0</v>
      </c>
      <c r="K422" s="627">
        <f t="shared" si="140"/>
        <v>0</v>
      </c>
      <c r="L422" s="627">
        <f t="shared" si="140"/>
        <v>0</v>
      </c>
      <c r="M422" s="42">
        <f t="shared" si="140"/>
        <v>0</v>
      </c>
      <c r="N422" s="43">
        <f t="shared" si="140"/>
        <v>0</v>
      </c>
    </row>
    <row r="423" spans="1:18" ht="30" hidden="1">
      <c r="A423" s="116" t="s">
        <v>135</v>
      </c>
      <c r="B423" s="26" t="s">
        <v>421</v>
      </c>
      <c r="C423" s="26" t="s">
        <v>24</v>
      </c>
      <c r="D423" s="26" t="s">
        <v>22</v>
      </c>
      <c r="E423" s="26" t="s">
        <v>301</v>
      </c>
      <c r="F423" s="26" t="s">
        <v>133</v>
      </c>
      <c r="G423" s="147"/>
      <c r="H423" s="589">
        <v>316.5</v>
      </c>
      <c r="I423" s="147"/>
      <c r="J423" s="627"/>
      <c r="K423" s="627"/>
      <c r="L423" s="627">
        <f>J423+K423</f>
        <v>0</v>
      </c>
      <c r="M423" s="42"/>
      <c r="N423" s="30">
        <f>L423+M423</f>
        <v>0</v>
      </c>
    </row>
    <row r="424" spans="1:18" ht="60" hidden="1">
      <c r="A424" s="116" t="s">
        <v>423</v>
      </c>
      <c r="B424" s="26" t="s">
        <v>421</v>
      </c>
      <c r="C424" s="26" t="s">
        <v>24</v>
      </c>
      <c r="D424" s="26" t="s">
        <v>22</v>
      </c>
      <c r="E424" s="26" t="s">
        <v>303</v>
      </c>
      <c r="F424" s="26"/>
      <c r="G424" s="147">
        <f t="shared" ref="G424:N424" si="141">G425</f>
        <v>0</v>
      </c>
      <c r="H424" s="147">
        <f t="shared" si="141"/>
        <v>209.6</v>
      </c>
      <c r="I424" s="147">
        <f t="shared" si="141"/>
        <v>0</v>
      </c>
      <c r="J424" s="627">
        <f t="shared" si="141"/>
        <v>0</v>
      </c>
      <c r="K424" s="627">
        <f t="shared" si="141"/>
        <v>0</v>
      </c>
      <c r="L424" s="627">
        <f t="shared" si="141"/>
        <v>0</v>
      </c>
      <c r="M424" s="42">
        <f t="shared" si="141"/>
        <v>0</v>
      </c>
      <c r="N424" s="43">
        <f t="shared" si="141"/>
        <v>0</v>
      </c>
    </row>
    <row r="425" spans="1:18" ht="30.75" hidden="1" thickBot="1">
      <c r="A425" s="116" t="s">
        <v>135</v>
      </c>
      <c r="B425" s="26" t="s">
        <v>421</v>
      </c>
      <c r="C425" s="26" t="s">
        <v>24</v>
      </c>
      <c r="D425" s="26" t="s">
        <v>22</v>
      </c>
      <c r="E425" s="26" t="s">
        <v>303</v>
      </c>
      <c r="F425" s="26" t="s">
        <v>133</v>
      </c>
      <c r="G425" s="147"/>
      <c r="H425" s="589">
        <v>209.6</v>
      </c>
      <c r="I425" s="147"/>
      <c r="J425" s="627"/>
      <c r="K425" s="627"/>
      <c r="L425" s="627">
        <f>J425+K425</f>
        <v>0</v>
      </c>
      <c r="M425" s="83"/>
      <c r="N425" s="103">
        <f>L425+M425</f>
        <v>0</v>
      </c>
    </row>
    <row r="426" spans="1:18" ht="30" thickBot="1">
      <c r="A426" s="610" t="s">
        <v>424</v>
      </c>
      <c r="B426" s="611" t="s">
        <v>425</v>
      </c>
      <c r="C426" s="611"/>
      <c r="D426" s="611"/>
      <c r="E426" s="611"/>
      <c r="F426" s="611"/>
      <c r="G426" s="612" t="e">
        <f>G427+G484+G509+G569+G604+G623+G635+G476</f>
        <v>#REF!</v>
      </c>
      <c r="H426" s="612" t="e">
        <f>H427+H484+H509+H569+H604+H623+H635+H476</f>
        <v>#REF!</v>
      </c>
      <c r="I426" s="613" t="e">
        <f>I427+I484+I509+I569+I604+I623+I635+I476</f>
        <v>#REF!</v>
      </c>
      <c r="J426" s="633">
        <f>J427+J484+J509+J569+J604+J623+J635+J476+J668</f>
        <v>199105.09700999997</v>
      </c>
      <c r="K426" s="633">
        <f>K427+K484+K509+K569+K604+K623+K635+K476+K668</f>
        <v>41768.18103</v>
      </c>
      <c r="L426" s="633">
        <f>L427+L484+L509+L569+L604+L623+L635+L476+L668</f>
        <v>240873.27803999998</v>
      </c>
      <c r="M426" s="158" t="e">
        <f>M427+M484+M509+M569+M604+M623+M635+M476</f>
        <v>#REF!</v>
      </c>
      <c r="N426" s="90" t="e">
        <f>N427+N484+N509+N569+N604+N623+N635+N476</f>
        <v>#REF!</v>
      </c>
      <c r="O426" s="159">
        <f>L426-L442-L462-L467-L591</f>
        <v>235793.84203999999</v>
      </c>
      <c r="P426" s="159"/>
      <c r="R426" s="15"/>
    </row>
    <row r="427" spans="1:18" s="161" customFormat="1" ht="14.25">
      <c r="A427" s="176" t="s">
        <v>18</v>
      </c>
      <c r="B427" s="34" t="s">
        <v>425</v>
      </c>
      <c r="C427" s="34" t="s">
        <v>21</v>
      </c>
      <c r="D427" s="34"/>
      <c r="E427" s="34"/>
      <c r="F427" s="34"/>
      <c r="G427" s="588" t="e">
        <f>G428+G432+G438+G449+G454+G470</f>
        <v>#REF!</v>
      </c>
      <c r="H427" s="588">
        <f t="shared" ref="H427:N427" si="142">H428+H432+H438+H454+H470+H453</f>
        <v>12549.96</v>
      </c>
      <c r="I427" s="588">
        <f t="shared" si="142"/>
        <v>0</v>
      </c>
      <c r="J427" s="379">
        <f>J428+J432+J438+J454+J470+J453+J460</f>
        <v>20740.319999999996</v>
      </c>
      <c r="K427" s="379">
        <f>K428+K432+K438+K454+K470+K453+K460</f>
        <v>-560.54600000000005</v>
      </c>
      <c r="L427" s="379">
        <f>L428+L432+L438+L454+L470+L453+L460</f>
        <v>20179.773999999998</v>
      </c>
      <c r="M427" s="21">
        <f t="shared" si="142"/>
        <v>-176.62</v>
      </c>
      <c r="N427" s="92">
        <f t="shared" si="142"/>
        <v>17674.628290000001</v>
      </c>
      <c r="O427" s="160">
        <f>SUM(J426:K426)</f>
        <v>240873.27803999998</v>
      </c>
    </row>
    <row r="428" spans="1:18" s="113" customFormat="1" ht="57">
      <c r="A428" s="109" t="s">
        <v>426</v>
      </c>
      <c r="B428" s="25" t="s">
        <v>425</v>
      </c>
      <c r="C428" s="25" t="s">
        <v>21</v>
      </c>
      <c r="D428" s="25" t="s">
        <v>22</v>
      </c>
      <c r="E428" s="25"/>
      <c r="F428" s="25"/>
      <c r="G428" s="568">
        <f t="shared" ref="G428:N430" si="143">G429</f>
        <v>0</v>
      </c>
      <c r="H428" s="568">
        <f t="shared" si="143"/>
        <v>861</v>
      </c>
      <c r="I428" s="568">
        <f t="shared" si="143"/>
        <v>0</v>
      </c>
      <c r="J428" s="488">
        <f t="shared" si="143"/>
        <v>1080.095</v>
      </c>
      <c r="K428" s="488">
        <f t="shared" si="143"/>
        <v>0</v>
      </c>
      <c r="L428" s="488">
        <f t="shared" si="143"/>
        <v>1080.095</v>
      </c>
      <c r="M428" s="570">
        <f t="shared" si="143"/>
        <v>0</v>
      </c>
      <c r="N428" s="96">
        <f t="shared" si="143"/>
        <v>1080.095</v>
      </c>
    </row>
    <row r="429" spans="1:18" ht="30">
      <c r="A429" s="110" t="s">
        <v>411</v>
      </c>
      <c r="B429" s="26" t="s">
        <v>425</v>
      </c>
      <c r="C429" s="26" t="s">
        <v>21</v>
      </c>
      <c r="D429" s="26" t="s">
        <v>22</v>
      </c>
      <c r="E429" s="26" t="s">
        <v>191</v>
      </c>
      <c r="F429" s="26"/>
      <c r="G429" s="147">
        <f t="shared" si="143"/>
        <v>0</v>
      </c>
      <c r="H429" s="147">
        <f t="shared" si="143"/>
        <v>861</v>
      </c>
      <c r="I429" s="147">
        <f t="shared" si="143"/>
        <v>0</v>
      </c>
      <c r="J429" s="627">
        <f t="shared" si="143"/>
        <v>1080.095</v>
      </c>
      <c r="K429" s="627">
        <f t="shared" si="143"/>
        <v>0</v>
      </c>
      <c r="L429" s="627">
        <f t="shared" si="143"/>
        <v>1080.095</v>
      </c>
      <c r="M429" s="42">
        <f t="shared" si="143"/>
        <v>0</v>
      </c>
      <c r="N429" s="43">
        <f t="shared" si="143"/>
        <v>1080.095</v>
      </c>
    </row>
    <row r="430" spans="1:18">
      <c r="A430" s="110" t="s">
        <v>427</v>
      </c>
      <c r="B430" s="26" t="s">
        <v>425</v>
      </c>
      <c r="C430" s="26" t="s">
        <v>21</v>
      </c>
      <c r="D430" s="26" t="s">
        <v>22</v>
      </c>
      <c r="E430" s="26" t="s">
        <v>428</v>
      </c>
      <c r="F430" s="26"/>
      <c r="G430" s="147">
        <f t="shared" si="143"/>
        <v>0</v>
      </c>
      <c r="H430" s="147">
        <f t="shared" si="143"/>
        <v>861</v>
      </c>
      <c r="I430" s="147">
        <f t="shared" si="143"/>
        <v>0</v>
      </c>
      <c r="J430" s="627">
        <f t="shared" si="143"/>
        <v>1080.095</v>
      </c>
      <c r="K430" s="627">
        <f t="shared" si="143"/>
        <v>0</v>
      </c>
      <c r="L430" s="627">
        <f t="shared" si="143"/>
        <v>1080.095</v>
      </c>
      <c r="M430" s="42">
        <f t="shared" si="143"/>
        <v>0</v>
      </c>
      <c r="N430" s="43">
        <f t="shared" si="143"/>
        <v>1080.095</v>
      </c>
    </row>
    <row r="431" spans="1:18" ht="30">
      <c r="A431" s="116" t="s">
        <v>135</v>
      </c>
      <c r="B431" s="26" t="s">
        <v>425</v>
      </c>
      <c r="C431" s="26" t="s">
        <v>21</v>
      </c>
      <c r="D431" s="26" t="s">
        <v>22</v>
      </c>
      <c r="E431" s="26" t="s">
        <v>428</v>
      </c>
      <c r="F431" s="26" t="s">
        <v>133</v>
      </c>
      <c r="G431" s="147"/>
      <c r="H431" s="589">
        <v>861</v>
      </c>
      <c r="I431" s="147"/>
      <c r="J431" s="627">
        <v>1080.095</v>
      </c>
      <c r="K431" s="627"/>
      <c r="L431" s="627">
        <f>J431+K431</f>
        <v>1080.095</v>
      </c>
      <c r="M431" s="42"/>
      <c r="N431" s="30">
        <f>L431+M431</f>
        <v>1080.095</v>
      </c>
      <c r="O431" s="162">
        <v>1080.095</v>
      </c>
      <c r="P431" s="163">
        <f>L431-O431</f>
        <v>0</v>
      </c>
    </row>
    <row r="432" spans="1:18" s="113" customFormat="1" ht="85.5">
      <c r="A432" s="109" t="s">
        <v>429</v>
      </c>
      <c r="B432" s="25" t="s">
        <v>425</v>
      </c>
      <c r="C432" s="25" t="s">
        <v>21</v>
      </c>
      <c r="D432" s="25" t="s">
        <v>24</v>
      </c>
      <c r="E432" s="25"/>
      <c r="F432" s="25"/>
      <c r="G432" s="568">
        <f t="shared" ref="G432:N432" si="144">G433</f>
        <v>30</v>
      </c>
      <c r="H432" s="568">
        <f t="shared" si="144"/>
        <v>1353</v>
      </c>
      <c r="I432" s="568">
        <f t="shared" si="144"/>
        <v>0</v>
      </c>
      <c r="J432" s="488">
        <f t="shared" si="144"/>
        <v>1708.9490000000001</v>
      </c>
      <c r="K432" s="488">
        <f t="shared" si="144"/>
        <v>1.722</v>
      </c>
      <c r="L432" s="488">
        <f t="shared" si="144"/>
        <v>1710.671</v>
      </c>
      <c r="M432" s="570">
        <f t="shared" si="144"/>
        <v>0</v>
      </c>
      <c r="N432" s="96">
        <f t="shared" si="144"/>
        <v>1710.671</v>
      </c>
    </row>
    <row r="433" spans="1:19" ht="30">
      <c r="A433" s="110" t="s">
        <v>411</v>
      </c>
      <c r="B433" s="26" t="s">
        <v>425</v>
      </c>
      <c r="C433" s="26" t="s">
        <v>21</v>
      </c>
      <c r="D433" s="26" t="s">
        <v>24</v>
      </c>
      <c r="E433" s="26" t="s">
        <v>191</v>
      </c>
      <c r="F433" s="26"/>
      <c r="G433" s="147">
        <f t="shared" ref="G433:M433" si="145">G434+G436</f>
        <v>30</v>
      </c>
      <c r="H433" s="589">
        <f t="shared" si="145"/>
        <v>1353</v>
      </c>
      <c r="I433" s="147">
        <f t="shared" si="145"/>
        <v>0</v>
      </c>
      <c r="J433" s="627">
        <f t="shared" si="145"/>
        <v>1708.9490000000001</v>
      </c>
      <c r="K433" s="627">
        <f t="shared" si="145"/>
        <v>1.722</v>
      </c>
      <c r="L433" s="627">
        <f t="shared" si="145"/>
        <v>1710.671</v>
      </c>
      <c r="M433" s="42">
        <f t="shared" si="145"/>
        <v>0</v>
      </c>
      <c r="N433" s="43">
        <f>N434+N436</f>
        <v>1710.671</v>
      </c>
    </row>
    <row r="434" spans="1:19">
      <c r="A434" s="110" t="s">
        <v>192</v>
      </c>
      <c r="B434" s="26" t="s">
        <v>425</v>
      </c>
      <c r="C434" s="26" t="s">
        <v>21</v>
      </c>
      <c r="D434" s="26" t="s">
        <v>24</v>
      </c>
      <c r="E434" s="26" t="s">
        <v>193</v>
      </c>
      <c r="F434" s="26"/>
      <c r="G434" s="147">
        <f t="shared" ref="G434:N434" si="146">G435</f>
        <v>30</v>
      </c>
      <c r="H434" s="147">
        <f t="shared" si="146"/>
        <v>615</v>
      </c>
      <c r="I434" s="147">
        <f t="shared" si="146"/>
        <v>0</v>
      </c>
      <c r="J434" s="627">
        <f t="shared" si="146"/>
        <v>952.55200000000002</v>
      </c>
      <c r="K434" s="627">
        <f t="shared" si="146"/>
        <v>1.722</v>
      </c>
      <c r="L434" s="627">
        <f t="shared" si="146"/>
        <v>954.274</v>
      </c>
      <c r="M434" s="42">
        <f t="shared" si="146"/>
        <v>0</v>
      </c>
      <c r="N434" s="43">
        <f t="shared" si="146"/>
        <v>954.274</v>
      </c>
    </row>
    <row r="435" spans="1:19" ht="30">
      <c r="A435" s="110" t="s">
        <v>135</v>
      </c>
      <c r="B435" s="26" t="s">
        <v>425</v>
      </c>
      <c r="C435" s="26" t="s">
        <v>21</v>
      </c>
      <c r="D435" s="26" t="s">
        <v>24</v>
      </c>
      <c r="E435" s="26" t="s">
        <v>193</v>
      </c>
      <c r="F435" s="26" t="s">
        <v>133</v>
      </c>
      <c r="G435" s="147">
        <v>30</v>
      </c>
      <c r="H435" s="589">
        <v>615</v>
      </c>
      <c r="I435" s="147"/>
      <c r="J435" s="627">
        <v>952.55200000000002</v>
      </c>
      <c r="K435" s="627">
        <f>1.283+0.439</f>
        <v>1.722</v>
      </c>
      <c r="L435" s="627">
        <f>J435+K435</f>
        <v>954.274</v>
      </c>
      <c r="M435" s="42"/>
      <c r="N435" s="30">
        <f>L435+M435</f>
        <v>954.274</v>
      </c>
      <c r="O435" s="44">
        <v>885.05200000000002</v>
      </c>
      <c r="P435" s="45">
        <f>L435-O435</f>
        <v>69.22199999999998</v>
      </c>
      <c r="R435" s="11">
        <v>76.421999999999997</v>
      </c>
      <c r="S435" s="15">
        <f>L435-R435</f>
        <v>877.85199999999998</v>
      </c>
    </row>
    <row r="436" spans="1:19" ht="45">
      <c r="A436" s="164" t="s">
        <v>430</v>
      </c>
      <c r="B436" s="26" t="s">
        <v>425</v>
      </c>
      <c r="C436" s="26" t="s">
        <v>21</v>
      </c>
      <c r="D436" s="26" t="s">
        <v>24</v>
      </c>
      <c r="E436" s="26" t="s">
        <v>431</v>
      </c>
      <c r="F436" s="26"/>
      <c r="G436" s="147">
        <f t="shared" ref="G436:N436" si="147">G437</f>
        <v>0</v>
      </c>
      <c r="H436" s="589">
        <f t="shared" si="147"/>
        <v>738</v>
      </c>
      <c r="I436" s="147">
        <f t="shared" si="147"/>
        <v>0</v>
      </c>
      <c r="J436" s="627">
        <f t="shared" si="147"/>
        <v>756.39700000000005</v>
      </c>
      <c r="K436" s="627">
        <f t="shared" si="147"/>
        <v>0</v>
      </c>
      <c r="L436" s="627">
        <f t="shared" si="147"/>
        <v>756.39700000000005</v>
      </c>
      <c r="M436" s="42">
        <f t="shared" si="147"/>
        <v>0</v>
      </c>
      <c r="N436" s="30">
        <f t="shared" si="147"/>
        <v>756.39700000000005</v>
      </c>
    </row>
    <row r="437" spans="1:19" ht="30">
      <c r="A437" s="110" t="s">
        <v>135</v>
      </c>
      <c r="B437" s="26" t="s">
        <v>425</v>
      </c>
      <c r="C437" s="26" t="s">
        <v>21</v>
      </c>
      <c r="D437" s="26" t="s">
        <v>24</v>
      </c>
      <c r="E437" s="26" t="s">
        <v>431</v>
      </c>
      <c r="F437" s="26" t="s">
        <v>133</v>
      </c>
      <c r="G437" s="147"/>
      <c r="H437" s="589">
        <v>738</v>
      </c>
      <c r="I437" s="147"/>
      <c r="J437" s="627">
        <v>756.39700000000005</v>
      </c>
      <c r="K437" s="627"/>
      <c r="L437" s="627">
        <f>J437+K437</f>
        <v>756.39700000000005</v>
      </c>
      <c r="M437" s="42"/>
      <c r="N437" s="30">
        <f>L437+M437</f>
        <v>756.39700000000005</v>
      </c>
      <c r="O437" s="56">
        <v>756.39687600000002</v>
      </c>
      <c r="P437" s="45">
        <f>L437-O437</f>
        <v>1.2400000002799061E-4</v>
      </c>
    </row>
    <row r="438" spans="1:19" s="113" customFormat="1" ht="85.5">
      <c r="A438" s="109" t="s">
        <v>272</v>
      </c>
      <c r="B438" s="25" t="s">
        <v>425</v>
      </c>
      <c r="C438" s="25" t="s">
        <v>21</v>
      </c>
      <c r="D438" s="25" t="s">
        <v>26</v>
      </c>
      <c r="E438" s="25"/>
      <c r="F438" s="25"/>
      <c r="G438" s="568" t="e">
        <f>G443+G439+G441</f>
        <v>#REF!</v>
      </c>
      <c r="H438" s="206">
        <f t="shared" ref="H438:N438" si="148">H443+H439+H441+H447+H449</f>
        <v>10050.56</v>
      </c>
      <c r="I438" s="206">
        <f t="shared" si="148"/>
        <v>0</v>
      </c>
      <c r="J438" s="488">
        <f>J443+J439+J441+J447+J449</f>
        <v>15700.456999999999</v>
      </c>
      <c r="K438" s="488">
        <f t="shared" si="148"/>
        <v>-688.01800000000003</v>
      </c>
      <c r="L438" s="488">
        <f t="shared" si="148"/>
        <v>15012.438999999998</v>
      </c>
      <c r="M438" s="60">
        <f t="shared" si="148"/>
        <v>-88.62</v>
      </c>
      <c r="N438" s="98">
        <f t="shared" si="148"/>
        <v>14923.818999999998</v>
      </c>
    </row>
    <row r="439" spans="1:19" s="113" customFormat="1" ht="51.75" hidden="1" customHeight="1">
      <c r="A439" s="93" t="s">
        <v>432</v>
      </c>
      <c r="B439" s="26" t="s">
        <v>425</v>
      </c>
      <c r="C439" s="26" t="s">
        <v>21</v>
      </c>
      <c r="D439" s="26" t="s">
        <v>26</v>
      </c>
      <c r="E439" s="26" t="s">
        <v>433</v>
      </c>
      <c r="F439" s="26"/>
      <c r="G439" s="147">
        <f t="shared" ref="G439:N439" si="149">G440</f>
        <v>47.3</v>
      </c>
      <c r="H439" s="147">
        <f t="shared" si="149"/>
        <v>0</v>
      </c>
      <c r="I439" s="147">
        <f t="shared" si="149"/>
        <v>0</v>
      </c>
      <c r="J439" s="627">
        <f t="shared" si="149"/>
        <v>0</v>
      </c>
      <c r="K439" s="627">
        <f t="shared" si="149"/>
        <v>0</v>
      </c>
      <c r="L439" s="627">
        <f t="shared" si="149"/>
        <v>0</v>
      </c>
      <c r="M439" s="42">
        <f t="shared" si="149"/>
        <v>0</v>
      </c>
      <c r="N439" s="43">
        <f t="shared" si="149"/>
        <v>0</v>
      </c>
    </row>
    <row r="440" spans="1:19" s="113" customFormat="1" ht="30" hidden="1" customHeight="1">
      <c r="A440" s="110" t="s">
        <v>282</v>
      </c>
      <c r="B440" s="26" t="s">
        <v>425</v>
      </c>
      <c r="C440" s="26" t="s">
        <v>21</v>
      </c>
      <c r="D440" s="26" t="s">
        <v>26</v>
      </c>
      <c r="E440" s="26" t="s">
        <v>433</v>
      </c>
      <c r="F440" s="26" t="s">
        <v>234</v>
      </c>
      <c r="G440" s="147">
        <v>47.3</v>
      </c>
      <c r="H440" s="589"/>
      <c r="I440" s="147"/>
      <c r="J440" s="627">
        <f>H440+I440</f>
        <v>0</v>
      </c>
      <c r="K440" s="627">
        <f>49.6-49.6</f>
        <v>0</v>
      </c>
      <c r="L440" s="627">
        <f>J440+K440</f>
        <v>0</v>
      </c>
      <c r="M440" s="42">
        <f>49.6-49.6</f>
        <v>0</v>
      </c>
      <c r="N440" s="30">
        <f>L440+M440</f>
        <v>0</v>
      </c>
    </row>
    <row r="441" spans="1:19" s="113" customFormat="1" ht="75">
      <c r="A441" s="93" t="s">
        <v>188</v>
      </c>
      <c r="B441" s="26" t="s">
        <v>425</v>
      </c>
      <c r="C441" s="26" t="s">
        <v>21</v>
      </c>
      <c r="D441" s="26" t="s">
        <v>26</v>
      </c>
      <c r="E441" s="26" t="s">
        <v>189</v>
      </c>
      <c r="F441" s="26"/>
      <c r="G441" s="206" t="e">
        <f t="shared" ref="G441:N441" si="150">G442</f>
        <v>#REF!</v>
      </c>
      <c r="H441" s="592">
        <f t="shared" si="150"/>
        <v>0</v>
      </c>
      <c r="I441" s="206">
        <f t="shared" si="150"/>
        <v>0</v>
      </c>
      <c r="J441" s="627">
        <f t="shared" si="150"/>
        <v>1050</v>
      </c>
      <c r="K441" s="627">
        <f t="shared" si="150"/>
        <v>5.7</v>
      </c>
      <c r="L441" s="627">
        <f t="shared" si="150"/>
        <v>1055.7</v>
      </c>
      <c r="M441" s="60">
        <f t="shared" si="150"/>
        <v>0</v>
      </c>
      <c r="N441" s="55">
        <f t="shared" si="150"/>
        <v>1055.7</v>
      </c>
    </row>
    <row r="442" spans="1:19" s="113" customFormat="1" ht="30">
      <c r="A442" s="31" t="s">
        <v>135</v>
      </c>
      <c r="B442" s="26" t="s">
        <v>425</v>
      </c>
      <c r="C442" s="26" t="s">
        <v>21</v>
      </c>
      <c r="D442" s="26" t="s">
        <v>26</v>
      </c>
      <c r="E442" s="26" t="s">
        <v>189</v>
      </c>
      <c r="F442" s="26" t="s">
        <v>133</v>
      </c>
      <c r="G442" s="206" t="e">
        <f>H442-#REF!</f>
        <v>#REF!</v>
      </c>
      <c r="H442" s="592"/>
      <c r="I442" s="206"/>
      <c r="J442" s="627">
        <v>1050</v>
      </c>
      <c r="K442" s="627">
        <v>5.7</v>
      </c>
      <c r="L442" s="627">
        <f>J442+K442</f>
        <v>1055.7</v>
      </c>
      <c r="M442" s="60"/>
      <c r="N442" s="55">
        <f>L442+M442</f>
        <v>1055.7</v>
      </c>
      <c r="O442" s="113">
        <v>1050</v>
      </c>
      <c r="P442" s="146">
        <f>K442</f>
        <v>5.7</v>
      </c>
    </row>
    <row r="443" spans="1:19" ht="30">
      <c r="A443" s="110" t="s">
        <v>411</v>
      </c>
      <c r="B443" s="26" t="s">
        <v>425</v>
      </c>
      <c r="C443" s="26" t="s">
        <v>21</v>
      </c>
      <c r="D443" s="26" t="s">
        <v>26</v>
      </c>
      <c r="E443" s="26" t="s">
        <v>191</v>
      </c>
      <c r="F443" s="26"/>
      <c r="G443" s="147">
        <f t="shared" ref="G443:N443" si="151">G444</f>
        <v>1312.7</v>
      </c>
      <c r="H443" s="147">
        <f t="shared" si="151"/>
        <v>10050.56</v>
      </c>
      <c r="I443" s="147">
        <f t="shared" si="151"/>
        <v>0</v>
      </c>
      <c r="J443" s="627">
        <f t="shared" si="151"/>
        <v>14596.156999999999</v>
      </c>
      <c r="K443" s="627">
        <f t="shared" si="151"/>
        <v>-693.71800000000007</v>
      </c>
      <c r="L443" s="627">
        <f t="shared" si="151"/>
        <v>13902.438999999998</v>
      </c>
      <c r="M443" s="42">
        <f t="shared" si="151"/>
        <v>-88.62</v>
      </c>
      <c r="N443" s="43">
        <f t="shared" si="151"/>
        <v>13813.818999999998</v>
      </c>
    </row>
    <row r="444" spans="1:19">
      <c r="A444" s="110" t="s">
        <v>192</v>
      </c>
      <c r="B444" s="26" t="s">
        <v>425</v>
      </c>
      <c r="C444" s="26" t="s">
        <v>21</v>
      </c>
      <c r="D444" s="26" t="s">
        <v>26</v>
      </c>
      <c r="E444" s="26" t="s">
        <v>193</v>
      </c>
      <c r="F444" s="26"/>
      <c r="G444" s="147">
        <f t="shared" ref="G444:M444" si="152">G445+G446</f>
        <v>1312.7</v>
      </c>
      <c r="H444" s="147">
        <f t="shared" si="152"/>
        <v>10050.56</v>
      </c>
      <c r="I444" s="147">
        <f t="shared" si="152"/>
        <v>0</v>
      </c>
      <c r="J444" s="627">
        <f t="shared" si="152"/>
        <v>14596.156999999999</v>
      </c>
      <c r="K444" s="627">
        <f t="shared" si="152"/>
        <v>-693.71800000000007</v>
      </c>
      <c r="L444" s="627">
        <f t="shared" si="152"/>
        <v>13902.438999999998</v>
      </c>
      <c r="M444" s="42">
        <f t="shared" si="152"/>
        <v>-88.62</v>
      </c>
      <c r="N444" s="43">
        <f>N445+N446</f>
        <v>13813.818999999998</v>
      </c>
    </row>
    <row r="445" spans="1:19" ht="30" hidden="1">
      <c r="A445" s="110" t="s">
        <v>282</v>
      </c>
      <c r="B445" s="26" t="s">
        <v>425</v>
      </c>
      <c r="C445" s="26" t="s">
        <v>21</v>
      </c>
      <c r="D445" s="26" t="s">
        <v>26</v>
      </c>
      <c r="E445" s="26" t="s">
        <v>193</v>
      </c>
      <c r="F445" s="26" t="s">
        <v>234</v>
      </c>
      <c r="G445" s="147">
        <v>-47.3</v>
      </c>
      <c r="H445" s="147">
        <v>49.6</v>
      </c>
      <c r="I445" s="147"/>
      <c r="J445" s="627"/>
      <c r="K445" s="627"/>
      <c r="L445" s="627">
        <f>J445+K445</f>
        <v>0</v>
      </c>
      <c r="M445" s="42"/>
      <c r="N445" s="30">
        <f>L445+M445</f>
        <v>0</v>
      </c>
    </row>
    <row r="446" spans="1:19" ht="30">
      <c r="A446" s="110" t="s">
        <v>135</v>
      </c>
      <c r="B446" s="26" t="s">
        <v>425</v>
      </c>
      <c r="C446" s="26" t="s">
        <v>21</v>
      </c>
      <c r="D446" s="26" t="s">
        <v>26</v>
      </c>
      <c r="E446" s="26" t="s">
        <v>193</v>
      </c>
      <c r="F446" s="26" t="s">
        <v>133</v>
      </c>
      <c r="G446" s="147">
        <f>10-200+200+80.47+1300-0.47-80+50</f>
        <v>1360</v>
      </c>
      <c r="H446" s="147">
        <f>49.6+117.4+10087.47-203.91-49.6</f>
        <v>10000.959999999999</v>
      </c>
      <c r="I446" s="147"/>
      <c r="J446" s="627">
        <v>14596.156999999999</v>
      </c>
      <c r="K446" s="627">
        <f>21.033+7.193-114+250-723.131+111.53+40.857-287.2</f>
        <v>-693.71800000000007</v>
      </c>
      <c r="L446" s="627">
        <f>J446+K446</f>
        <v>13902.438999999998</v>
      </c>
      <c r="M446" s="28">
        <f>-176.62+88</f>
        <v>-88.62</v>
      </c>
      <c r="N446" s="30">
        <f>L446+M446</f>
        <v>13813.818999999998</v>
      </c>
      <c r="O446" s="56">
        <v>14307.865</v>
      </c>
      <c r="P446" s="45">
        <f>L446-O446</f>
        <v>-405.4260000000013</v>
      </c>
    </row>
    <row r="447" spans="1:19" ht="47.25" customHeight="1">
      <c r="A447" s="110" t="s">
        <v>432</v>
      </c>
      <c r="B447" s="34" t="s">
        <v>425</v>
      </c>
      <c r="C447" s="34" t="s">
        <v>21</v>
      </c>
      <c r="D447" s="26" t="s">
        <v>26</v>
      </c>
      <c r="E447" s="26" t="s">
        <v>433</v>
      </c>
      <c r="F447" s="26"/>
      <c r="G447" s="585"/>
      <c r="H447" s="589">
        <f t="shared" ref="H447:N447" si="153">H448</f>
        <v>0</v>
      </c>
      <c r="I447" s="589">
        <f t="shared" si="153"/>
        <v>0</v>
      </c>
      <c r="J447" s="627">
        <f t="shared" si="153"/>
        <v>54.3</v>
      </c>
      <c r="K447" s="627">
        <f t="shared" si="153"/>
        <v>0</v>
      </c>
      <c r="L447" s="627">
        <f t="shared" si="153"/>
        <v>54.3</v>
      </c>
      <c r="M447" s="29">
        <f t="shared" si="153"/>
        <v>0</v>
      </c>
      <c r="N447" s="30">
        <f t="shared" si="153"/>
        <v>54.3</v>
      </c>
    </row>
    <row r="448" spans="1:19" ht="29.25" customHeight="1">
      <c r="A448" s="31" t="s">
        <v>135</v>
      </c>
      <c r="B448" s="34" t="s">
        <v>425</v>
      </c>
      <c r="C448" s="34" t="s">
        <v>21</v>
      </c>
      <c r="D448" s="26" t="s">
        <v>26</v>
      </c>
      <c r="E448" s="26" t="s">
        <v>433</v>
      </c>
      <c r="F448" s="26" t="s">
        <v>133</v>
      </c>
      <c r="G448" s="585"/>
      <c r="H448" s="589"/>
      <c r="I448" s="585"/>
      <c r="J448" s="627">
        <v>54.3</v>
      </c>
      <c r="K448" s="379"/>
      <c r="L448" s="627">
        <f>J448+K448</f>
        <v>54.3</v>
      </c>
      <c r="M448" s="40"/>
      <c r="N448" s="30">
        <f>L448+M448</f>
        <v>54.3</v>
      </c>
    </row>
    <row r="449" spans="1:16" ht="14.25" hidden="1" customHeight="1">
      <c r="A449" s="110" t="s">
        <v>434</v>
      </c>
      <c r="B449" s="34" t="s">
        <v>425</v>
      </c>
      <c r="C449" s="34" t="s">
        <v>21</v>
      </c>
      <c r="D449" s="26" t="s">
        <v>26</v>
      </c>
      <c r="E449" s="26" t="s">
        <v>279</v>
      </c>
      <c r="F449" s="26"/>
      <c r="G449" s="585"/>
      <c r="H449" s="589">
        <f t="shared" ref="H449:N449" si="154">H450</f>
        <v>0</v>
      </c>
      <c r="I449" s="589">
        <f t="shared" si="154"/>
        <v>0</v>
      </c>
      <c r="J449" s="627">
        <f t="shared" si="154"/>
        <v>0</v>
      </c>
      <c r="K449" s="627">
        <f t="shared" si="154"/>
        <v>0</v>
      </c>
      <c r="L449" s="627">
        <f t="shared" si="154"/>
        <v>0</v>
      </c>
      <c r="M449" s="29">
        <f t="shared" si="154"/>
        <v>0</v>
      </c>
      <c r="N449" s="30">
        <f t="shared" si="154"/>
        <v>0</v>
      </c>
    </row>
    <row r="450" spans="1:16" ht="14.25" hidden="1" customHeight="1">
      <c r="A450" s="111" t="s">
        <v>277</v>
      </c>
      <c r="B450" s="34" t="s">
        <v>425</v>
      </c>
      <c r="C450" s="34" t="s">
        <v>21</v>
      </c>
      <c r="D450" s="26" t="s">
        <v>26</v>
      </c>
      <c r="E450" s="26" t="s">
        <v>279</v>
      </c>
      <c r="F450" s="26" t="s">
        <v>133</v>
      </c>
      <c r="G450" s="585"/>
      <c r="H450" s="589"/>
      <c r="I450" s="585"/>
      <c r="J450" s="627">
        <f>H450+I450</f>
        <v>0</v>
      </c>
      <c r="K450" s="379"/>
      <c r="L450" s="627">
        <f>J450+K450</f>
        <v>0</v>
      </c>
      <c r="M450" s="40"/>
      <c r="N450" s="30">
        <f>L450+M450</f>
        <v>0</v>
      </c>
    </row>
    <row r="451" spans="1:16" ht="18" hidden="1" customHeight="1">
      <c r="A451" s="165" t="s">
        <v>27</v>
      </c>
      <c r="B451" s="166" t="s">
        <v>425</v>
      </c>
      <c r="C451" s="166" t="s">
        <v>21</v>
      </c>
      <c r="D451" s="166" t="s">
        <v>28</v>
      </c>
      <c r="E451" s="167"/>
      <c r="F451" s="167"/>
      <c r="G451" s="585"/>
      <c r="H451" s="589">
        <f>H452</f>
        <v>0</v>
      </c>
      <c r="I451" s="589">
        <f t="shared" ref="I451:N452" si="155">I452</f>
        <v>0</v>
      </c>
      <c r="J451" s="627">
        <f t="shared" si="155"/>
        <v>0</v>
      </c>
      <c r="K451" s="627">
        <f t="shared" si="155"/>
        <v>0</v>
      </c>
      <c r="L451" s="627">
        <f t="shared" si="155"/>
        <v>0</v>
      </c>
      <c r="M451" s="168">
        <f t="shared" si="155"/>
        <v>0</v>
      </c>
      <c r="N451" s="49">
        <f t="shared" si="155"/>
        <v>0</v>
      </c>
    </row>
    <row r="452" spans="1:16" ht="17.25" hidden="1" customHeight="1">
      <c r="A452" s="31" t="s">
        <v>435</v>
      </c>
      <c r="B452" s="169" t="s">
        <v>425</v>
      </c>
      <c r="C452" s="169" t="s">
        <v>21</v>
      </c>
      <c r="D452" s="169" t="s">
        <v>28</v>
      </c>
      <c r="E452" s="169" t="s">
        <v>436</v>
      </c>
      <c r="F452" s="169"/>
      <c r="G452" s="585"/>
      <c r="H452" s="589">
        <f>H453</f>
        <v>0</v>
      </c>
      <c r="I452" s="589">
        <f t="shared" si="155"/>
        <v>0</v>
      </c>
      <c r="J452" s="627">
        <f t="shared" si="155"/>
        <v>0</v>
      </c>
      <c r="K452" s="627">
        <f t="shared" si="155"/>
        <v>0</v>
      </c>
      <c r="L452" s="627">
        <f t="shared" si="155"/>
        <v>0</v>
      </c>
      <c r="M452" s="29">
        <f t="shared" si="155"/>
        <v>0</v>
      </c>
      <c r="N452" s="30">
        <f t="shared" si="155"/>
        <v>0</v>
      </c>
    </row>
    <row r="453" spans="1:16" ht="15" hidden="1" customHeight="1">
      <c r="A453" s="110" t="s">
        <v>132</v>
      </c>
      <c r="B453" s="26" t="s">
        <v>425</v>
      </c>
      <c r="C453" s="26" t="s">
        <v>21</v>
      </c>
      <c r="D453" s="26" t="s">
        <v>28</v>
      </c>
      <c r="E453" s="26" t="s">
        <v>436</v>
      </c>
      <c r="F453" s="26" t="s">
        <v>234</v>
      </c>
      <c r="G453" s="147"/>
      <c r="H453" s="589"/>
      <c r="I453" s="147"/>
      <c r="J453" s="627">
        <f>H453+I453</f>
        <v>0</v>
      </c>
      <c r="K453" s="627"/>
      <c r="L453" s="627">
        <f>J453+K453</f>
        <v>0</v>
      </c>
      <c r="M453" s="118"/>
      <c r="N453" s="117">
        <f>L453+M453</f>
        <v>0</v>
      </c>
    </row>
    <row r="454" spans="1:16" s="113" customFormat="1" ht="29.25" customHeight="1">
      <c r="A454" s="109" t="s">
        <v>437</v>
      </c>
      <c r="B454" s="25" t="s">
        <v>425</v>
      </c>
      <c r="C454" s="25" t="s">
        <v>21</v>
      </c>
      <c r="D454" s="25" t="s">
        <v>32</v>
      </c>
      <c r="E454" s="170"/>
      <c r="F454" s="25"/>
      <c r="G454" s="568">
        <f t="shared" ref="G454:N458" si="156">G455</f>
        <v>0</v>
      </c>
      <c r="H454" s="568">
        <f t="shared" si="156"/>
        <v>20</v>
      </c>
      <c r="I454" s="568">
        <f t="shared" si="156"/>
        <v>0</v>
      </c>
      <c r="J454" s="488">
        <f>J455</f>
        <v>164.28899999999999</v>
      </c>
      <c r="K454" s="488">
        <f t="shared" si="156"/>
        <v>-30</v>
      </c>
      <c r="L454" s="488">
        <f t="shared" si="156"/>
        <v>134.28899999999999</v>
      </c>
      <c r="M454" s="570">
        <f t="shared" si="156"/>
        <v>0</v>
      </c>
      <c r="N454" s="96">
        <f t="shared" si="156"/>
        <v>48.043289999999999</v>
      </c>
    </row>
    <row r="455" spans="1:16" ht="32.25" customHeight="1">
      <c r="A455" s="110" t="s">
        <v>438</v>
      </c>
      <c r="B455" s="26" t="s">
        <v>425</v>
      </c>
      <c r="C455" s="26" t="s">
        <v>21</v>
      </c>
      <c r="D455" s="26" t="s">
        <v>32</v>
      </c>
      <c r="E455" s="127" t="s">
        <v>439</v>
      </c>
      <c r="F455" s="26"/>
      <c r="G455" s="147">
        <f>G458</f>
        <v>0</v>
      </c>
      <c r="H455" s="147">
        <f>H458</f>
        <v>20</v>
      </c>
      <c r="I455" s="147">
        <f>I458</f>
        <v>0</v>
      </c>
      <c r="J455" s="627">
        <f>J458+J456</f>
        <v>164.28899999999999</v>
      </c>
      <c r="K455" s="627">
        <f>K458+K456</f>
        <v>-30</v>
      </c>
      <c r="L455" s="627">
        <f>L458+L456</f>
        <v>134.28899999999999</v>
      </c>
      <c r="M455" s="42">
        <f>M458</f>
        <v>0</v>
      </c>
      <c r="N455" s="43">
        <f>N458</f>
        <v>48.043289999999999</v>
      </c>
    </row>
    <row r="456" spans="1:16" ht="43.5" customHeight="1">
      <c r="A456" s="62" t="s">
        <v>440</v>
      </c>
      <c r="B456" s="26" t="s">
        <v>425</v>
      </c>
      <c r="C456" s="26" t="s">
        <v>21</v>
      </c>
      <c r="D456" s="26" t="s">
        <v>32</v>
      </c>
      <c r="E456" s="26" t="s">
        <v>441</v>
      </c>
      <c r="F456" s="26"/>
      <c r="G456" s="147">
        <f t="shared" si="156"/>
        <v>0</v>
      </c>
      <c r="H456" s="147">
        <f t="shared" si="156"/>
        <v>20</v>
      </c>
      <c r="I456" s="147">
        <f t="shared" si="156"/>
        <v>0</v>
      </c>
      <c r="J456" s="627">
        <f t="shared" si="156"/>
        <v>111.342</v>
      </c>
      <c r="K456" s="627">
        <f t="shared" si="156"/>
        <v>-25.09629</v>
      </c>
      <c r="L456" s="627">
        <f t="shared" si="156"/>
        <v>86.245710000000003</v>
      </c>
      <c r="M456" s="42"/>
      <c r="N456" s="43"/>
    </row>
    <row r="457" spans="1:16" ht="27" customHeight="1">
      <c r="A457" s="110" t="s">
        <v>135</v>
      </c>
      <c r="B457" s="26" t="s">
        <v>425</v>
      </c>
      <c r="C457" s="26" t="s">
        <v>21</v>
      </c>
      <c r="D457" s="26" t="s">
        <v>32</v>
      </c>
      <c r="E457" s="26" t="s">
        <v>441</v>
      </c>
      <c r="F457" s="26" t="s">
        <v>133</v>
      </c>
      <c r="G457" s="147"/>
      <c r="H457" s="147">
        <v>20</v>
      </c>
      <c r="I457" s="147"/>
      <c r="J457" s="627">
        <v>111.342</v>
      </c>
      <c r="K457" s="627">
        <f>-25.09629</f>
        <v>-25.09629</v>
      </c>
      <c r="L457" s="627">
        <f>J457+K457</f>
        <v>86.245710000000003</v>
      </c>
      <c r="M457" s="42"/>
      <c r="N457" s="43"/>
    </row>
    <row r="458" spans="1:16" ht="30" customHeight="1">
      <c r="A458" s="110" t="s">
        <v>442</v>
      </c>
      <c r="B458" s="26" t="s">
        <v>425</v>
      </c>
      <c r="C458" s="26" t="s">
        <v>21</v>
      </c>
      <c r="D458" s="26" t="s">
        <v>32</v>
      </c>
      <c r="E458" s="26" t="s">
        <v>443</v>
      </c>
      <c r="F458" s="26"/>
      <c r="G458" s="147">
        <f t="shared" si="156"/>
        <v>0</v>
      </c>
      <c r="H458" s="147">
        <f t="shared" si="156"/>
        <v>20</v>
      </c>
      <c r="I458" s="147">
        <f t="shared" si="156"/>
        <v>0</v>
      </c>
      <c r="J458" s="627">
        <f t="shared" si="156"/>
        <v>52.947000000000003</v>
      </c>
      <c r="K458" s="627">
        <f t="shared" si="156"/>
        <v>-4.9037100000000002</v>
      </c>
      <c r="L458" s="627">
        <f t="shared" si="156"/>
        <v>48.043289999999999</v>
      </c>
      <c r="M458" s="42">
        <f t="shared" si="156"/>
        <v>0</v>
      </c>
      <c r="N458" s="43">
        <f t="shared" si="156"/>
        <v>48.043289999999999</v>
      </c>
    </row>
    <row r="459" spans="1:16" ht="31.5" customHeight="1">
      <c r="A459" s="110" t="s">
        <v>135</v>
      </c>
      <c r="B459" s="26" t="s">
        <v>425</v>
      </c>
      <c r="C459" s="26" t="s">
        <v>21</v>
      </c>
      <c r="D459" s="26" t="s">
        <v>32</v>
      </c>
      <c r="E459" s="26" t="s">
        <v>443</v>
      </c>
      <c r="F459" s="26" t="s">
        <v>133</v>
      </c>
      <c r="G459" s="147"/>
      <c r="H459" s="147">
        <v>20</v>
      </c>
      <c r="I459" s="147"/>
      <c r="J459" s="627">
        <v>52.947000000000003</v>
      </c>
      <c r="K459" s="627">
        <f>25.09629-30</f>
        <v>-4.9037100000000002</v>
      </c>
      <c r="L459" s="627">
        <f>J459+K459</f>
        <v>48.043289999999999</v>
      </c>
      <c r="M459" s="42"/>
      <c r="N459" s="30">
        <f>L459+M459</f>
        <v>48.043289999999999</v>
      </c>
    </row>
    <row r="460" spans="1:16" ht="25.5" customHeight="1">
      <c r="A460" s="171" t="s">
        <v>38</v>
      </c>
      <c r="B460" s="172" t="s">
        <v>425</v>
      </c>
      <c r="C460" s="172" t="s">
        <v>21</v>
      </c>
      <c r="D460" s="172" t="s">
        <v>37</v>
      </c>
      <c r="E460" s="172"/>
      <c r="F460" s="172"/>
      <c r="G460" s="205">
        <f>G463+G461</f>
        <v>0</v>
      </c>
      <c r="H460" s="205">
        <f>H463+H461</f>
        <v>265.39999999999998</v>
      </c>
      <c r="I460" s="205">
        <f>I463+I461</f>
        <v>0</v>
      </c>
      <c r="J460" s="488">
        <f>J463+J461+J466+J468</f>
        <v>2086.5299999999997</v>
      </c>
      <c r="K460" s="488">
        <f>K463+K461+K466+K468</f>
        <v>155.75</v>
      </c>
      <c r="L460" s="488">
        <f>L463+L461+L466+L468</f>
        <v>2242.2799999999997</v>
      </c>
      <c r="M460" s="42"/>
      <c r="N460" s="30"/>
    </row>
    <row r="461" spans="1:16" ht="30.75" customHeight="1">
      <c r="A461" s="173" t="s">
        <v>444</v>
      </c>
      <c r="B461" s="127" t="s">
        <v>425</v>
      </c>
      <c r="C461" s="127" t="s">
        <v>21</v>
      </c>
      <c r="D461" s="127" t="s">
        <v>37</v>
      </c>
      <c r="E461" s="127" t="s">
        <v>433</v>
      </c>
      <c r="F461" s="127"/>
      <c r="G461" s="67">
        <f t="shared" ref="G461:L461" si="157">G462</f>
        <v>195</v>
      </c>
      <c r="H461" s="67">
        <f t="shared" si="157"/>
        <v>0</v>
      </c>
      <c r="I461" s="67">
        <f t="shared" si="157"/>
        <v>0</v>
      </c>
      <c r="J461" s="627">
        <f t="shared" si="157"/>
        <v>413</v>
      </c>
      <c r="K461" s="627">
        <f t="shared" si="157"/>
        <v>0</v>
      </c>
      <c r="L461" s="627">
        <f t="shared" si="157"/>
        <v>413</v>
      </c>
      <c r="M461" s="42"/>
      <c r="N461" s="30"/>
    </row>
    <row r="462" spans="1:16" ht="28.5" customHeight="1">
      <c r="A462" s="174" t="s">
        <v>141</v>
      </c>
      <c r="B462" s="127" t="s">
        <v>425</v>
      </c>
      <c r="C462" s="127" t="s">
        <v>21</v>
      </c>
      <c r="D462" s="127" t="s">
        <v>37</v>
      </c>
      <c r="E462" s="127" t="s">
        <v>445</v>
      </c>
      <c r="F462" s="127" t="s">
        <v>142</v>
      </c>
      <c r="G462" s="67">
        <v>195</v>
      </c>
      <c r="H462" s="66"/>
      <c r="I462" s="67"/>
      <c r="J462" s="627">
        <v>413</v>
      </c>
      <c r="K462" s="627"/>
      <c r="L462" s="627">
        <f>J462+K462</f>
        <v>413</v>
      </c>
      <c r="M462" s="42"/>
      <c r="N462" s="30"/>
      <c r="O462" s="11">
        <v>413</v>
      </c>
      <c r="P462" s="15">
        <f>K462</f>
        <v>0</v>
      </c>
    </row>
    <row r="463" spans="1:16" ht="43.5" customHeight="1">
      <c r="A463" s="174" t="s">
        <v>446</v>
      </c>
      <c r="B463" s="127" t="s">
        <v>425</v>
      </c>
      <c r="C463" s="127" t="s">
        <v>21</v>
      </c>
      <c r="D463" s="127" t="s">
        <v>37</v>
      </c>
      <c r="E463" s="127" t="s">
        <v>447</v>
      </c>
      <c r="F463" s="127"/>
      <c r="G463" s="67">
        <f t="shared" ref="G463:L464" si="158">G464</f>
        <v>-195</v>
      </c>
      <c r="H463" s="67">
        <f t="shared" si="158"/>
        <v>265.39999999999998</v>
      </c>
      <c r="I463" s="67">
        <f t="shared" si="158"/>
        <v>0</v>
      </c>
      <c r="J463" s="627">
        <f t="shared" si="158"/>
        <v>112.73</v>
      </c>
      <c r="K463" s="627">
        <f t="shared" si="158"/>
        <v>0</v>
      </c>
      <c r="L463" s="627">
        <f t="shared" si="158"/>
        <v>112.73</v>
      </c>
      <c r="M463" s="42"/>
      <c r="N463" s="30"/>
    </row>
    <row r="464" spans="1:16" ht="27.75" customHeight="1">
      <c r="A464" s="174" t="s">
        <v>145</v>
      </c>
      <c r="B464" s="127" t="s">
        <v>425</v>
      </c>
      <c r="C464" s="127" t="s">
        <v>21</v>
      </c>
      <c r="D464" s="127" t="s">
        <v>37</v>
      </c>
      <c r="E464" s="127" t="s">
        <v>448</v>
      </c>
      <c r="F464" s="127"/>
      <c r="G464" s="67">
        <f t="shared" si="158"/>
        <v>-195</v>
      </c>
      <c r="H464" s="67">
        <f t="shared" si="158"/>
        <v>265.39999999999998</v>
      </c>
      <c r="I464" s="67">
        <f t="shared" si="158"/>
        <v>0</v>
      </c>
      <c r="J464" s="627">
        <f t="shared" si="158"/>
        <v>112.73</v>
      </c>
      <c r="K464" s="627">
        <f t="shared" si="158"/>
        <v>0</v>
      </c>
      <c r="L464" s="627">
        <f t="shared" si="158"/>
        <v>112.73</v>
      </c>
      <c r="M464" s="42"/>
      <c r="N464" s="30"/>
    </row>
    <row r="465" spans="1:19" ht="27.75" customHeight="1">
      <c r="A465" s="174" t="s">
        <v>141</v>
      </c>
      <c r="B465" s="127" t="s">
        <v>425</v>
      </c>
      <c r="C465" s="127" t="s">
        <v>21</v>
      </c>
      <c r="D465" s="127" t="s">
        <v>37</v>
      </c>
      <c r="E465" s="127" t="s">
        <v>448</v>
      </c>
      <c r="F465" s="127" t="s">
        <v>142</v>
      </c>
      <c r="G465" s="67">
        <v>-195</v>
      </c>
      <c r="H465" s="67">
        <f>204.4+61</f>
        <v>265.39999999999998</v>
      </c>
      <c r="I465" s="67"/>
      <c r="J465" s="627">
        <v>112.73</v>
      </c>
      <c r="K465" s="627"/>
      <c r="L465" s="627">
        <f>J465+K465</f>
        <v>112.73</v>
      </c>
      <c r="M465" s="42"/>
      <c r="N465" s="30"/>
      <c r="O465" s="11">
        <v>112.73</v>
      </c>
    </row>
    <row r="466" spans="1:19" ht="42" customHeight="1">
      <c r="A466" s="174" t="s">
        <v>449</v>
      </c>
      <c r="B466" s="127" t="s">
        <v>425</v>
      </c>
      <c r="C466" s="127" t="s">
        <v>21</v>
      </c>
      <c r="D466" s="127" t="s">
        <v>37</v>
      </c>
      <c r="E466" s="127" t="s">
        <v>450</v>
      </c>
      <c r="F466" s="127"/>
      <c r="G466" s="67"/>
      <c r="H466" s="66"/>
      <c r="I466" s="67"/>
      <c r="J466" s="627">
        <f>J467</f>
        <v>175.8</v>
      </c>
      <c r="K466" s="627">
        <f>K467</f>
        <v>0</v>
      </c>
      <c r="L466" s="627">
        <f>L467</f>
        <v>175.8</v>
      </c>
      <c r="M466" s="42"/>
      <c r="N466" s="30"/>
    </row>
    <row r="467" spans="1:19" s="387" customFormat="1" ht="27.75" customHeight="1">
      <c r="A467" s="174" t="s">
        <v>135</v>
      </c>
      <c r="B467" s="127" t="s">
        <v>425</v>
      </c>
      <c r="C467" s="127" t="s">
        <v>21</v>
      </c>
      <c r="D467" s="127" t="s">
        <v>37</v>
      </c>
      <c r="E467" s="127" t="s">
        <v>450</v>
      </c>
      <c r="F467" s="127" t="s">
        <v>133</v>
      </c>
      <c r="G467" s="67"/>
      <c r="H467" s="66"/>
      <c r="I467" s="67"/>
      <c r="J467" s="627">
        <v>175.8</v>
      </c>
      <c r="K467" s="627"/>
      <c r="L467" s="627">
        <f>J467+K467</f>
        <v>175.8</v>
      </c>
      <c r="M467" s="385"/>
      <c r="N467" s="386"/>
      <c r="O467" s="387">
        <v>175.8</v>
      </c>
      <c r="P467" s="389">
        <f>K467</f>
        <v>0</v>
      </c>
      <c r="Q467" s="388"/>
      <c r="R467" s="388" t="s">
        <v>1078</v>
      </c>
      <c r="S467" s="388"/>
    </row>
    <row r="468" spans="1:19" ht="42" customHeight="1">
      <c r="A468" s="110" t="s">
        <v>225</v>
      </c>
      <c r="B468" s="26" t="s">
        <v>425</v>
      </c>
      <c r="C468" s="26" t="s">
        <v>21</v>
      </c>
      <c r="D468" s="26" t="s">
        <v>37</v>
      </c>
      <c r="E468" s="26" t="s">
        <v>226</v>
      </c>
      <c r="F468" s="26"/>
      <c r="G468" s="67"/>
      <c r="H468" s="66"/>
      <c r="I468" s="67"/>
      <c r="J468" s="627">
        <f>J469</f>
        <v>1385</v>
      </c>
      <c r="K468" s="627">
        <f>K469</f>
        <v>155.75</v>
      </c>
      <c r="L468" s="627">
        <f>L469</f>
        <v>1540.75</v>
      </c>
      <c r="M468" s="42"/>
      <c r="N468" s="30"/>
      <c r="P468" s="15"/>
    </row>
    <row r="469" spans="1:19" ht="27.75" customHeight="1">
      <c r="A469" s="110" t="s">
        <v>135</v>
      </c>
      <c r="B469" s="26" t="s">
        <v>425</v>
      </c>
      <c r="C469" s="26" t="s">
        <v>21</v>
      </c>
      <c r="D469" s="26" t="s">
        <v>37</v>
      </c>
      <c r="E469" s="26" t="s">
        <v>226</v>
      </c>
      <c r="F469" s="26" t="s">
        <v>133</v>
      </c>
      <c r="G469" s="67"/>
      <c r="H469" s="66"/>
      <c r="I469" s="67"/>
      <c r="J469" s="627">
        <v>1385</v>
      </c>
      <c r="K469" s="627">
        <f>-40+101.25+94.5</f>
        <v>155.75</v>
      </c>
      <c r="L469" s="627">
        <f>J469+K469</f>
        <v>1540.75</v>
      </c>
      <c r="M469" s="42"/>
      <c r="N469" s="30"/>
      <c r="P469" s="15"/>
    </row>
    <row r="470" spans="1:19" s="113" customFormat="1" ht="28.5" hidden="1">
      <c r="A470" s="109" t="s">
        <v>38</v>
      </c>
      <c r="B470" s="25" t="s">
        <v>425</v>
      </c>
      <c r="C470" s="25" t="s">
        <v>21</v>
      </c>
      <c r="D470" s="25" t="s">
        <v>39</v>
      </c>
      <c r="E470" s="25"/>
      <c r="F470" s="25"/>
      <c r="G470" s="568">
        <f t="shared" ref="G470:M470" si="159">G473+G471</f>
        <v>0</v>
      </c>
      <c r="H470" s="568">
        <f t="shared" si="159"/>
        <v>265.39999999999998</v>
      </c>
      <c r="I470" s="568">
        <f t="shared" si="159"/>
        <v>0</v>
      </c>
      <c r="J470" s="488">
        <f t="shared" si="159"/>
        <v>0</v>
      </c>
      <c r="K470" s="488">
        <f t="shared" si="159"/>
        <v>0</v>
      </c>
      <c r="L470" s="488">
        <f t="shared" si="159"/>
        <v>0</v>
      </c>
      <c r="M470" s="570">
        <f t="shared" si="159"/>
        <v>-88</v>
      </c>
      <c r="N470" s="96">
        <f>N473+N471</f>
        <v>-88</v>
      </c>
    </row>
    <row r="471" spans="1:19" s="113" customFormat="1" ht="44.25" hidden="1" customHeight="1">
      <c r="A471" s="93" t="s">
        <v>444</v>
      </c>
      <c r="B471" s="26" t="s">
        <v>425</v>
      </c>
      <c r="C471" s="26" t="s">
        <v>21</v>
      </c>
      <c r="D471" s="26" t="s">
        <v>39</v>
      </c>
      <c r="E471" s="26" t="s">
        <v>433</v>
      </c>
      <c r="F471" s="26"/>
      <c r="G471" s="147">
        <f t="shared" ref="G471:N471" si="160">G472</f>
        <v>195</v>
      </c>
      <c r="H471" s="147">
        <f t="shared" si="160"/>
        <v>0</v>
      </c>
      <c r="I471" s="147">
        <f t="shared" si="160"/>
        <v>0</v>
      </c>
      <c r="J471" s="627">
        <f t="shared" si="160"/>
        <v>0</v>
      </c>
      <c r="K471" s="627">
        <f t="shared" si="160"/>
        <v>0</v>
      </c>
      <c r="L471" s="627">
        <f t="shared" si="160"/>
        <v>0</v>
      </c>
      <c r="M471" s="42">
        <f t="shared" si="160"/>
        <v>0</v>
      </c>
      <c r="N471" s="43">
        <f t="shared" si="160"/>
        <v>0</v>
      </c>
    </row>
    <row r="472" spans="1:19" s="113" customFormat="1" ht="30.75" hidden="1" customHeight="1">
      <c r="A472" s="110" t="s">
        <v>141</v>
      </c>
      <c r="B472" s="26" t="s">
        <v>425</v>
      </c>
      <c r="C472" s="26" t="s">
        <v>21</v>
      </c>
      <c r="D472" s="26" t="s">
        <v>39</v>
      </c>
      <c r="E472" s="26" t="s">
        <v>445</v>
      </c>
      <c r="F472" s="26" t="s">
        <v>142</v>
      </c>
      <c r="G472" s="147">
        <v>195</v>
      </c>
      <c r="H472" s="589"/>
      <c r="I472" s="147"/>
      <c r="J472" s="627"/>
      <c r="K472" s="627"/>
      <c r="L472" s="627">
        <f>J472+K472</f>
        <v>0</v>
      </c>
      <c r="M472" s="42"/>
      <c r="N472" s="30">
        <f>L472+M472</f>
        <v>0</v>
      </c>
      <c r="P472" s="146">
        <f>K472</f>
        <v>0</v>
      </c>
    </row>
    <row r="473" spans="1:19" ht="45" hidden="1">
      <c r="A473" s="110" t="s">
        <v>446</v>
      </c>
      <c r="B473" s="26" t="s">
        <v>425</v>
      </c>
      <c r="C473" s="26" t="s">
        <v>21</v>
      </c>
      <c r="D473" s="26" t="s">
        <v>39</v>
      </c>
      <c r="E473" s="26" t="s">
        <v>447</v>
      </c>
      <c r="F473" s="26"/>
      <c r="G473" s="147">
        <f t="shared" ref="G473:N474" si="161">G474</f>
        <v>-195</v>
      </c>
      <c r="H473" s="147">
        <f t="shared" si="161"/>
        <v>265.39999999999998</v>
      </c>
      <c r="I473" s="147">
        <f t="shared" si="161"/>
        <v>0</v>
      </c>
      <c r="J473" s="627">
        <f t="shared" si="161"/>
        <v>0</v>
      </c>
      <c r="K473" s="627">
        <f t="shared" si="161"/>
        <v>0</v>
      </c>
      <c r="L473" s="627">
        <f t="shared" si="161"/>
        <v>0</v>
      </c>
      <c r="M473" s="42">
        <f t="shared" si="161"/>
        <v>-88</v>
      </c>
      <c r="N473" s="43">
        <f t="shared" si="161"/>
        <v>-88</v>
      </c>
    </row>
    <row r="474" spans="1:19" ht="18" hidden="1" customHeight="1">
      <c r="A474" s="110" t="s">
        <v>145</v>
      </c>
      <c r="B474" s="26" t="s">
        <v>425</v>
      </c>
      <c r="C474" s="26" t="s">
        <v>21</v>
      </c>
      <c r="D474" s="26" t="s">
        <v>39</v>
      </c>
      <c r="E474" s="26" t="s">
        <v>448</v>
      </c>
      <c r="F474" s="26"/>
      <c r="G474" s="147">
        <f t="shared" si="161"/>
        <v>-195</v>
      </c>
      <c r="H474" s="147">
        <f t="shared" si="161"/>
        <v>265.39999999999998</v>
      </c>
      <c r="I474" s="147">
        <f t="shared" si="161"/>
        <v>0</v>
      </c>
      <c r="J474" s="627">
        <f t="shared" si="161"/>
        <v>0</v>
      </c>
      <c r="K474" s="627">
        <f t="shared" si="161"/>
        <v>0</v>
      </c>
      <c r="L474" s="627">
        <f t="shared" si="161"/>
        <v>0</v>
      </c>
      <c r="M474" s="42">
        <f t="shared" si="161"/>
        <v>-88</v>
      </c>
      <c r="N474" s="43">
        <f t="shared" si="161"/>
        <v>-88</v>
      </c>
      <c r="O474" s="56"/>
    </row>
    <row r="475" spans="1:19" ht="18" hidden="1" customHeight="1">
      <c r="A475" s="110" t="s">
        <v>141</v>
      </c>
      <c r="B475" s="26" t="s">
        <v>425</v>
      </c>
      <c r="C475" s="26" t="s">
        <v>21</v>
      </c>
      <c r="D475" s="26" t="s">
        <v>39</v>
      </c>
      <c r="E475" s="26" t="s">
        <v>448</v>
      </c>
      <c r="F475" s="26" t="s">
        <v>142</v>
      </c>
      <c r="G475" s="147">
        <v>-195</v>
      </c>
      <c r="H475" s="147">
        <f>204.4+61</f>
        <v>265.39999999999998</v>
      </c>
      <c r="I475" s="147"/>
      <c r="J475" s="627"/>
      <c r="K475" s="627"/>
      <c r="L475" s="627">
        <f>J475+K475</f>
        <v>0</v>
      </c>
      <c r="M475" s="42">
        <f>-88</f>
        <v>-88</v>
      </c>
      <c r="N475" s="30">
        <f>L475+M475</f>
        <v>-88</v>
      </c>
      <c r="P475" s="97"/>
    </row>
    <row r="476" spans="1:19" s="161" customFormat="1" ht="42.75">
      <c r="A476" s="175" t="s">
        <v>43</v>
      </c>
      <c r="B476" s="34" t="s">
        <v>425</v>
      </c>
      <c r="C476" s="34" t="s">
        <v>24</v>
      </c>
      <c r="D476" s="34"/>
      <c r="E476" s="34"/>
      <c r="F476" s="34"/>
      <c r="G476" s="379">
        <f t="shared" ref="G476:N476" si="162">G477+G481</f>
        <v>0</v>
      </c>
      <c r="H476" s="379">
        <f t="shared" si="162"/>
        <v>57.6</v>
      </c>
      <c r="I476" s="379">
        <f t="shared" si="162"/>
        <v>0</v>
      </c>
      <c r="J476" s="379">
        <f t="shared" si="162"/>
        <v>90</v>
      </c>
      <c r="K476" s="379">
        <f t="shared" si="162"/>
        <v>-45</v>
      </c>
      <c r="L476" s="379">
        <f t="shared" si="162"/>
        <v>45</v>
      </c>
      <c r="M476" s="571">
        <f t="shared" si="162"/>
        <v>0</v>
      </c>
      <c r="N476" s="379">
        <f t="shared" si="162"/>
        <v>30</v>
      </c>
    </row>
    <row r="477" spans="1:19" s="113" customFormat="1" ht="71.25">
      <c r="A477" s="109" t="s">
        <v>451</v>
      </c>
      <c r="B477" s="25" t="s">
        <v>425</v>
      </c>
      <c r="C477" s="25" t="s">
        <v>24</v>
      </c>
      <c r="D477" s="25" t="s">
        <v>47</v>
      </c>
      <c r="E477" s="25"/>
      <c r="F477" s="25"/>
      <c r="G477" s="568">
        <f t="shared" ref="G477:N479" si="163">G478</f>
        <v>0</v>
      </c>
      <c r="H477" s="568">
        <f t="shared" si="163"/>
        <v>57.6</v>
      </c>
      <c r="I477" s="568">
        <f t="shared" si="163"/>
        <v>0</v>
      </c>
      <c r="J477" s="488">
        <f t="shared" si="163"/>
        <v>75</v>
      </c>
      <c r="K477" s="488">
        <f t="shared" si="163"/>
        <v>-45</v>
      </c>
      <c r="L477" s="488">
        <f t="shared" si="163"/>
        <v>30</v>
      </c>
      <c r="M477" s="570">
        <f t="shared" si="163"/>
        <v>0</v>
      </c>
      <c r="N477" s="96">
        <f t="shared" si="163"/>
        <v>30</v>
      </c>
    </row>
    <row r="478" spans="1:19" ht="60">
      <c r="A478" s="110" t="s">
        <v>452</v>
      </c>
      <c r="B478" s="26" t="s">
        <v>425</v>
      </c>
      <c r="C478" s="26" t="s">
        <v>24</v>
      </c>
      <c r="D478" s="26" t="s">
        <v>47</v>
      </c>
      <c r="E478" s="26" t="s">
        <v>453</v>
      </c>
      <c r="F478" s="26"/>
      <c r="G478" s="147">
        <f t="shared" si="163"/>
        <v>0</v>
      </c>
      <c r="H478" s="147">
        <f t="shared" si="163"/>
        <v>57.6</v>
      </c>
      <c r="I478" s="147">
        <f t="shared" si="163"/>
        <v>0</v>
      </c>
      <c r="J478" s="627">
        <f t="shared" si="163"/>
        <v>75</v>
      </c>
      <c r="K478" s="627">
        <f t="shared" si="163"/>
        <v>-45</v>
      </c>
      <c r="L478" s="627">
        <f t="shared" si="163"/>
        <v>30</v>
      </c>
      <c r="M478" s="42">
        <f t="shared" si="163"/>
        <v>0</v>
      </c>
      <c r="N478" s="43">
        <f t="shared" si="163"/>
        <v>30</v>
      </c>
    </row>
    <row r="479" spans="1:19" ht="60">
      <c r="A479" s="110" t="s">
        <v>454</v>
      </c>
      <c r="B479" s="26" t="s">
        <v>425</v>
      </c>
      <c r="C479" s="26" t="s">
        <v>24</v>
      </c>
      <c r="D479" s="26" t="s">
        <v>47</v>
      </c>
      <c r="E479" s="26" t="s">
        <v>455</v>
      </c>
      <c r="F479" s="26"/>
      <c r="G479" s="147">
        <f t="shared" si="163"/>
        <v>0</v>
      </c>
      <c r="H479" s="147">
        <f t="shared" si="163"/>
        <v>57.6</v>
      </c>
      <c r="I479" s="147">
        <f t="shared" si="163"/>
        <v>0</v>
      </c>
      <c r="J479" s="627">
        <f t="shared" si="163"/>
        <v>75</v>
      </c>
      <c r="K479" s="627">
        <f t="shared" si="163"/>
        <v>-45</v>
      </c>
      <c r="L479" s="627">
        <f t="shared" si="163"/>
        <v>30</v>
      </c>
      <c r="M479" s="42">
        <f t="shared" si="163"/>
        <v>0</v>
      </c>
      <c r="N479" s="43">
        <f t="shared" si="163"/>
        <v>30</v>
      </c>
    </row>
    <row r="480" spans="1:19" ht="60">
      <c r="A480" s="116" t="s">
        <v>456</v>
      </c>
      <c r="B480" s="26" t="s">
        <v>425</v>
      </c>
      <c r="C480" s="26" t="s">
        <v>24</v>
      </c>
      <c r="D480" s="26" t="s">
        <v>47</v>
      </c>
      <c r="E480" s="26" t="s">
        <v>455</v>
      </c>
      <c r="F480" s="26" t="s">
        <v>457</v>
      </c>
      <c r="G480" s="147"/>
      <c r="H480" s="147">
        <v>57.6</v>
      </c>
      <c r="I480" s="147"/>
      <c r="J480" s="627">
        <v>75</v>
      </c>
      <c r="K480" s="627">
        <v>-45</v>
      </c>
      <c r="L480" s="627">
        <f>J480+K480</f>
        <v>30</v>
      </c>
      <c r="M480" s="42"/>
      <c r="N480" s="30">
        <f>L480+M480</f>
        <v>30</v>
      </c>
      <c r="O480" s="44"/>
    </row>
    <row r="481" spans="1:15" ht="45">
      <c r="A481" s="116" t="s">
        <v>1156</v>
      </c>
      <c r="B481" s="26" t="s">
        <v>425</v>
      </c>
      <c r="C481" s="26" t="s">
        <v>24</v>
      </c>
      <c r="D481" s="26" t="s">
        <v>39</v>
      </c>
      <c r="E481" s="26"/>
      <c r="F481" s="26"/>
      <c r="G481" s="147"/>
      <c r="H481" s="147"/>
      <c r="I481" s="147"/>
      <c r="J481" s="627">
        <f t="shared" ref="J481:L482" si="164">J482</f>
        <v>15</v>
      </c>
      <c r="K481" s="627">
        <f t="shared" si="164"/>
        <v>0</v>
      </c>
      <c r="L481" s="627">
        <f t="shared" si="164"/>
        <v>15</v>
      </c>
      <c r="M481" s="42"/>
      <c r="N481" s="30"/>
      <c r="O481" s="44"/>
    </row>
    <row r="482" spans="1:15" ht="105">
      <c r="A482" s="116" t="s">
        <v>1157</v>
      </c>
      <c r="B482" s="26" t="s">
        <v>425</v>
      </c>
      <c r="C482" s="26" t="s">
        <v>24</v>
      </c>
      <c r="D482" s="26" t="s">
        <v>39</v>
      </c>
      <c r="E482" s="26" t="s">
        <v>1142</v>
      </c>
      <c r="F482" s="26"/>
      <c r="G482" s="147"/>
      <c r="H482" s="147"/>
      <c r="I482" s="147"/>
      <c r="J482" s="627">
        <f t="shared" si="164"/>
        <v>15</v>
      </c>
      <c r="K482" s="627">
        <f t="shared" si="164"/>
        <v>0</v>
      </c>
      <c r="L482" s="627">
        <f t="shared" si="164"/>
        <v>15</v>
      </c>
      <c r="M482" s="42"/>
      <c r="N482" s="30"/>
      <c r="O482" s="44"/>
    </row>
    <row r="483" spans="1:15">
      <c r="A483" s="116" t="s">
        <v>1143</v>
      </c>
      <c r="B483" s="26" t="s">
        <v>425</v>
      </c>
      <c r="C483" s="26" t="s">
        <v>24</v>
      </c>
      <c r="D483" s="26" t="s">
        <v>39</v>
      </c>
      <c r="E483" s="26" t="s">
        <v>1142</v>
      </c>
      <c r="F483" s="26" t="s">
        <v>133</v>
      </c>
      <c r="G483" s="147"/>
      <c r="H483" s="147"/>
      <c r="I483" s="147"/>
      <c r="J483" s="627">
        <v>15</v>
      </c>
      <c r="K483" s="627"/>
      <c r="L483" s="627">
        <f>J483+K483</f>
        <v>15</v>
      </c>
      <c r="M483" s="42"/>
      <c r="N483" s="30"/>
      <c r="O483" s="44"/>
    </row>
    <row r="484" spans="1:15" s="161" customFormat="1" ht="14.25">
      <c r="A484" s="176" t="s">
        <v>48</v>
      </c>
      <c r="B484" s="34" t="s">
        <v>425</v>
      </c>
      <c r="C484" s="34" t="s">
        <v>26</v>
      </c>
      <c r="D484" s="34"/>
      <c r="E484" s="34"/>
      <c r="F484" s="34"/>
      <c r="G484" s="585">
        <f>G488+G497+G491</f>
        <v>4086.5</v>
      </c>
      <c r="H484" s="587">
        <f t="shared" ref="H484:N484" si="165">H488+H497+H491+H494</f>
        <v>2102.1799999999998</v>
      </c>
      <c r="I484" s="587">
        <f t="shared" si="165"/>
        <v>0</v>
      </c>
      <c r="J484" s="379">
        <f>J488+J497+J491+J494+J485</f>
        <v>5788.8240100000003</v>
      </c>
      <c r="K484" s="379">
        <f>K488+K497+K491+K494+K485</f>
        <v>840.59402999999998</v>
      </c>
      <c r="L484" s="379">
        <f>L488+L497+L491+L494+L485</f>
        <v>6629.4180400000005</v>
      </c>
      <c r="M484" s="37">
        <f t="shared" si="165"/>
        <v>0</v>
      </c>
      <c r="N484" s="38">
        <f t="shared" si="165"/>
        <v>4799.4259999999995</v>
      </c>
    </row>
    <row r="485" spans="1:15" s="113" customFormat="1" ht="14.25">
      <c r="A485" s="121" t="s">
        <v>50</v>
      </c>
      <c r="B485" s="25" t="s">
        <v>425</v>
      </c>
      <c r="C485" s="25" t="s">
        <v>26</v>
      </c>
      <c r="D485" s="25" t="s">
        <v>21</v>
      </c>
      <c r="E485" s="25"/>
      <c r="F485" s="25"/>
      <c r="G485" s="568"/>
      <c r="H485" s="207"/>
      <c r="I485" s="207"/>
      <c r="J485" s="488">
        <f t="shared" ref="J485:L486" si="166">J486</f>
        <v>30.321010000000001</v>
      </c>
      <c r="K485" s="488">
        <f t="shared" si="166"/>
        <v>90.963030000000003</v>
      </c>
      <c r="L485" s="488">
        <f t="shared" si="166"/>
        <v>121.28404</v>
      </c>
      <c r="M485" s="70"/>
      <c r="N485" s="122"/>
    </row>
    <row r="486" spans="1:15" ht="30">
      <c r="A486" s="123" t="s">
        <v>1150</v>
      </c>
      <c r="B486" s="26" t="s">
        <v>425</v>
      </c>
      <c r="C486" s="26" t="s">
        <v>26</v>
      </c>
      <c r="D486" s="26" t="s">
        <v>21</v>
      </c>
      <c r="E486" s="26" t="s">
        <v>1140</v>
      </c>
      <c r="F486" s="26"/>
      <c r="G486" s="147"/>
      <c r="H486" s="589"/>
      <c r="I486" s="589"/>
      <c r="J486" s="627">
        <f t="shared" si="166"/>
        <v>30.321010000000001</v>
      </c>
      <c r="K486" s="627">
        <f t="shared" si="166"/>
        <v>90.963030000000003</v>
      </c>
      <c r="L486" s="627">
        <f t="shared" si="166"/>
        <v>121.28404</v>
      </c>
      <c r="M486" s="29"/>
      <c r="N486" s="30"/>
    </row>
    <row r="487" spans="1:15" ht="30">
      <c r="A487" s="116" t="s">
        <v>135</v>
      </c>
      <c r="B487" s="26" t="s">
        <v>425</v>
      </c>
      <c r="C487" s="26" t="s">
        <v>26</v>
      </c>
      <c r="D487" s="26" t="s">
        <v>21</v>
      </c>
      <c r="E487" s="26" t="s">
        <v>1140</v>
      </c>
      <c r="F487" s="26" t="s">
        <v>142</v>
      </c>
      <c r="G487" s="147"/>
      <c r="H487" s="589"/>
      <c r="I487" s="589"/>
      <c r="J487" s="627">
        <v>30.321010000000001</v>
      </c>
      <c r="K487" s="627">
        <v>90.963030000000003</v>
      </c>
      <c r="L487" s="627">
        <f>J487+K487</f>
        <v>121.28404</v>
      </c>
      <c r="M487" s="29"/>
      <c r="N487" s="30"/>
    </row>
    <row r="488" spans="1:15" s="113" customFormat="1">
      <c r="A488" s="110" t="s">
        <v>51</v>
      </c>
      <c r="B488" s="25" t="s">
        <v>425</v>
      </c>
      <c r="C488" s="25" t="s">
        <v>26</v>
      </c>
      <c r="D488" s="25" t="s">
        <v>28</v>
      </c>
      <c r="E488" s="25"/>
      <c r="F488" s="25"/>
      <c r="G488" s="568">
        <f t="shared" ref="G488:N489" si="167">G489</f>
        <v>0</v>
      </c>
      <c r="H488" s="568">
        <f t="shared" si="167"/>
        <v>167.68</v>
      </c>
      <c r="I488" s="568">
        <f t="shared" si="167"/>
        <v>0</v>
      </c>
      <c r="J488" s="488">
        <f t="shared" si="167"/>
        <v>2599</v>
      </c>
      <c r="K488" s="488">
        <f t="shared" si="167"/>
        <v>749.63099999999997</v>
      </c>
      <c r="L488" s="488">
        <f t="shared" si="167"/>
        <v>3348.6309999999999</v>
      </c>
      <c r="M488" s="570">
        <f t="shared" si="167"/>
        <v>0</v>
      </c>
      <c r="N488" s="96">
        <f t="shared" si="167"/>
        <v>3348.6309999999999</v>
      </c>
    </row>
    <row r="489" spans="1:15" ht="45">
      <c r="A489" s="116" t="s">
        <v>458</v>
      </c>
      <c r="B489" s="26" t="s">
        <v>425</v>
      </c>
      <c r="C489" s="26" t="s">
        <v>26</v>
      </c>
      <c r="D489" s="26" t="s">
        <v>28</v>
      </c>
      <c r="E489" s="26" t="s">
        <v>459</v>
      </c>
      <c r="F489" s="26"/>
      <c r="G489" s="147">
        <f t="shared" si="167"/>
        <v>0</v>
      </c>
      <c r="H489" s="147">
        <f t="shared" si="167"/>
        <v>167.68</v>
      </c>
      <c r="I489" s="147">
        <f t="shared" si="167"/>
        <v>0</v>
      </c>
      <c r="J489" s="627">
        <f t="shared" si="167"/>
        <v>2599</v>
      </c>
      <c r="K489" s="627">
        <f t="shared" si="167"/>
        <v>749.63099999999997</v>
      </c>
      <c r="L489" s="627">
        <f t="shared" si="167"/>
        <v>3348.6309999999999</v>
      </c>
      <c r="M489" s="42">
        <f t="shared" si="167"/>
        <v>0</v>
      </c>
      <c r="N489" s="43">
        <f t="shared" si="167"/>
        <v>3348.6309999999999</v>
      </c>
    </row>
    <row r="490" spans="1:15" ht="30.75" customHeight="1">
      <c r="A490" s="116" t="s">
        <v>460</v>
      </c>
      <c r="B490" s="26" t="s">
        <v>425</v>
      </c>
      <c r="C490" s="26" t="s">
        <v>26</v>
      </c>
      <c r="D490" s="26" t="s">
        <v>28</v>
      </c>
      <c r="E490" s="26" t="s">
        <v>459</v>
      </c>
      <c r="F490" s="26" t="s">
        <v>461</v>
      </c>
      <c r="G490" s="147"/>
      <c r="H490" s="589">
        <v>167.68</v>
      </c>
      <c r="I490" s="147"/>
      <c r="J490" s="627">
        <v>2599</v>
      </c>
      <c r="K490" s="627">
        <f>26.5+723.131</f>
        <v>749.63099999999997</v>
      </c>
      <c r="L490" s="627">
        <f>J490+K490</f>
        <v>3348.6309999999999</v>
      </c>
      <c r="M490" s="42"/>
      <c r="N490" s="30">
        <f>L490+M490</f>
        <v>3348.6309999999999</v>
      </c>
      <c r="O490" s="44"/>
    </row>
    <row r="491" spans="1:15" hidden="1">
      <c r="A491" s="116" t="s">
        <v>462</v>
      </c>
      <c r="B491" s="26" t="s">
        <v>425</v>
      </c>
      <c r="C491" s="26" t="s">
        <v>26</v>
      </c>
      <c r="D491" s="26" t="s">
        <v>47</v>
      </c>
      <c r="E491" s="26"/>
      <c r="F491" s="26"/>
      <c r="G491" s="147">
        <f t="shared" ref="G491:N492" si="168">G492</f>
        <v>786.5</v>
      </c>
      <c r="H491" s="147">
        <f t="shared" si="168"/>
        <v>0</v>
      </c>
      <c r="I491" s="147">
        <f t="shared" si="168"/>
        <v>0</v>
      </c>
      <c r="J491" s="627">
        <f t="shared" si="168"/>
        <v>0</v>
      </c>
      <c r="K491" s="627">
        <f t="shared" si="168"/>
        <v>0</v>
      </c>
      <c r="L491" s="627">
        <f t="shared" si="168"/>
        <v>0</v>
      </c>
      <c r="M491" s="42">
        <f t="shared" si="168"/>
        <v>0</v>
      </c>
      <c r="N491" s="43">
        <f t="shared" si="168"/>
        <v>0</v>
      </c>
    </row>
    <row r="492" spans="1:15" ht="75" hidden="1">
      <c r="A492" s="174" t="s">
        <v>463</v>
      </c>
      <c r="B492" s="26" t="s">
        <v>425</v>
      </c>
      <c r="C492" s="26" t="s">
        <v>26</v>
      </c>
      <c r="D492" s="26" t="s">
        <v>47</v>
      </c>
      <c r="E492" s="26" t="s">
        <v>464</v>
      </c>
      <c r="F492" s="26"/>
      <c r="G492" s="147">
        <f t="shared" si="168"/>
        <v>786.5</v>
      </c>
      <c r="H492" s="147">
        <f t="shared" si="168"/>
        <v>0</v>
      </c>
      <c r="I492" s="147">
        <f t="shared" si="168"/>
        <v>0</v>
      </c>
      <c r="J492" s="627">
        <f t="shared" si="168"/>
        <v>0</v>
      </c>
      <c r="K492" s="627">
        <f t="shared" si="168"/>
        <v>0</v>
      </c>
      <c r="L492" s="627">
        <f t="shared" si="168"/>
        <v>0</v>
      </c>
      <c r="M492" s="42">
        <f t="shared" si="168"/>
        <v>0</v>
      </c>
      <c r="N492" s="43">
        <f t="shared" si="168"/>
        <v>0</v>
      </c>
    </row>
    <row r="493" spans="1:15" ht="30" hidden="1">
      <c r="A493" s="116" t="s">
        <v>135</v>
      </c>
      <c r="B493" s="26" t="s">
        <v>425</v>
      </c>
      <c r="C493" s="26" t="s">
        <v>26</v>
      </c>
      <c r="D493" s="26" t="s">
        <v>47</v>
      </c>
      <c r="E493" s="26" t="s">
        <v>464</v>
      </c>
      <c r="F493" s="26" t="s">
        <v>133</v>
      </c>
      <c r="G493" s="147">
        <v>786.5</v>
      </c>
      <c r="H493" s="589"/>
      <c r="I493" s="147"/>
      <c r="J493" s="627"/>
      <c r="K493" s="627"/>
      <c r="L493" s="627">
        <f>J493+K493</f>
        <v>0</v>
      </c>
      <c r="M493" s="42"/>
      <c r="N493" s="30">
        <f>L493+M493</f>
        <v>0</v>
      </c>
    </row>
    <row r="494" spans="1:15" ht="30" hidden="1" customHeight="1">
      <c r="A494" s="178" t="s">
        <v>55</v>
      </c>
      <c r="B494" s="25" t="s">
        <v>425</v>
      </c>
      <c r="C494" s="25" t="s">
        <v>26</v>
      </c>
      <c r="D494" s="25" t="s">
        <v>34</v>
      </c>
      <c r="E494" s="25"/>
      <c r="F494" s="25"/>
      <c r="G494" s="568"/>
      <c r="H494" s="207">
        <f t="shared" ref="H494:N495" si="169">H495</f>
        <v>0</v>
      </c>
      <c r="I494" s="207">
        <f t="shared" si="169"/>
        <v>0</v>
      </c>
      <c r="J494" s="488">
        <f t="shared" si="169"/>
        <v>0</v>
      </c>
      <c r="K494" s="488">
        <f t="shared" si="169"/>
        <v>0</v>
      </c>
      <c r="L494" s="488">
        <f t="shared" si="169"/>
        <v>0</v>
      </c>
      <c r="M494" s="29">
        <f t="shared" si="169"/>
        <v>0</v>
      </c>
      <c r="N494" s="30">
        <f t="shared" si="169"/>
        <v>0</v>
      </c>
    </row>
    <row r="495" spans="1:15" ht="75" hidden="1" customHeight="1">
      <c r="A495" s="116" t="s">
        <v>465</v>
      </c>
      <c r="B495" s="26" t="s">
        <v>425</v>
      </c>
      <c r="C495" s="26" t="s">
        <v>26</v>
      </c>
      <c r="D495" s="26" t="s">
        <v>34</v>
      </c>
      <c r="E495" s="26" t="s">
        <v>466</v>
      </c>
      <c r="F495" s="26"/>
      <c r="G495" s="147"/>
      <c r="H495" s="589">
        <f t="shared" si="169"/>
        <v>0</v>
      </c>
      <c r="I495" s="589">
        <f t="shared" si="169"/>
        <v>0</v>
      </c>
      <c r="J495" s="627">
        <f t="shared" si="169"/>
        <v>0</v>
      </c>
      <c r="K495" s="627">
        <f t="shared" si="169"/>
        <v>0</v>
      </c>
      <c r="L495" s="627">
        <f t="shared" si="169"/>
        <v>0</v>
      </c>
      <c r="M495" s="29">
        <f t="shared" si="169"/>
        <v>0</v>
      </c>
      <c r="N495" s="30">
        <f t="shared" si="169"/>
        <v>0</v>
      </c>
    </row>
    <row r="496" spans="1:15" ht="30" hidden="1" customHeight="1">
      <c r="A496" s="116" t="s">
        <v>135</v>
      </c>
      <c r="B496" s="26" t="s">
        <v>425</v>
      </c>
      <c r="C496" s="26" t="s">
        <v>26</v>
      </c>
      <c r="D496" s="26" t="s">
        <v>34</v>
      </c>
      <c r="E496" s="26" t="s">
        <v>466</v>
      </c>
      <c r="F496" s="26" t="s">
        <v>133</v>
      </c>
      <c r="G496" s="147"/>
      <c r="H496" s="589"/>
      <c r="I496" s="147"/>
      <c r="J496" s="627">
        <f>H496+I496</f>
        <v>0</v>
      </c>
      <c r="K496" s="627"/>
      <c r="L496" s="627">
        <f>J496+K496</f>
        <v>0</v>
      </c>
      <c r="M496" s="42"/>
      <c r="N496" s="30">
        <f>L496+M496</f>
        <v>0</v>
      </c>
    </row>
    <row r="497" spans="1:16" s="113" customFormat="1" ht="30">
      <c r="A497" s="110" t="s">
        <v>467</v>
      </c>
      <c r="B497" s="25" t="s">
        <v>425</v>
      </c>
      <c r="C497" s="25" t="s">
        <v>26</v>
      </c>
      <c r="D497" s="25" t="s">
        <v>36</v>
      </c>
      <c r="E497" s="25"/>
      <c r="F497" s="25"/>
      <c r="G497" s="569">
        <f t="shared" ref="G497:L497" si="170">G500+G504+G498+G507</f>
        <v>3300</v>
      </c>
      <c r="H497" s="569">
        <f t="shared" si="170"/>
        <v>1934.5</v>
      </c>
      <c r="I497" s="569">
        <f t="shared" si="170"/>
        <v>0</v>
      </c>
      <c r="J497" s="488">
        <f t="shared" si="170"/>
        <v>3159.5030000000002</v>
      </c>
      <c r="K497" s="488">
        <f t="shared" si="170"/>
        <v>0</v>
      </c>
      <c r="L497" s="488">
        <f t="shared" si="170"/>
        <v>3159.5030000000002</v>
      </c>
      <c r="M497" s="570">
        <f>M500+M504+M498</f>
        <v>0</v>
      </c>
      <c r="N497" s="96">
        <f>N500+N504+N498</f>
        <v>1450.7950000000001</v>
      </c>
    </row>
    <row r="498" spans="1:16" s="113" customFormat="1" ht="60" hidden="1" customHeight="1">
      <c r="A498" s="110" t="s">
        <v>468</v>
      </c>
      <c r="B498" s="26" t="s">
        <v>425</v>
      </c>
      <c r="C498" s="26" t="s">
        <v>26</v>
      </c>
      <c r="D498" s="26" t="s">
        <v>36</v>
      </c>
      <c r="E498" s="26" t="s">
        <v>469</v>
      </c>
      <c r="F498" s="26"/>
      <c r="G498" s="147">
        <f t="shared" ref="G498:N498" si="171">G499</f>
        <v>0</v>
      </c>
      <c r="H498" s="589">
        <f t="shared" si="171"/>
        <v>0</v>
      </c>
      <c r="I498" s="147">
        <f t="shared" si="171"/>
        <v>0</v>
      </c>
      <c r="J498" s="627">
        <f t="shared" si="171"/>
        <v>0</v>
      </c>
      <c r="K498" s="627">
        <f t="shared" si="171"/>
        <v>0</v>
      </c>
      <c r="L498" s="627">
        <f t="shared" si="171"/>
        <v>0</v>
      </c>
      <c r="M498" s="570">
        <f t="shared" si="171"/>
        <v>0</v>
      </c>
      <c r="N498" s="122">
        <f t="shared" si="171"/>
        <v>0</v>
      </c>
    </row>
    <row r="499" spans="1:16" s="113" customFormat="1" ht="17.25" hidden="1" customHeight="1">
      <c r="A499" s="110" t="s">
        <v>470</v>
      </c>
      <c r="B499" s="26" t="s">
        <v>425</v>
      </c>
      <c r="C499" s="26" t="s">
        <v>26</v>
      </c>
      <c r="D499" s="26" t="s">
        <v>36</v>
      </c>
      <c r="E499" s="26" t="s">
        <v>469</v>
      </c>
      <c r="F499" s="26" t="s">
        <v>471</v>
      </c>
      <c r="G499" s="147">
        <f>50-50</f>
        <v>0</v>
      </c>
      <c r="H499" s="589"/>
      <c r="I499" s="147">
        <f>50-50</f>
        <v>0</v>
      </c>
      <c r="J499" s="627">
        <f>H499+I499</f>
        <v>0</v>
      </c>
      <c r="K499" s="627"/>
      <c r="L499" s="627">
        <f>J499+K499</f>
        <v>0</v>
      </c>
      <c r="M499" s="570">
        <f>50-50</f>
        <v>0</v>
      </c>
      <c r="N499" s="30">
        <f>L499+M499</f>
        <v>0</v>
      </c>
    </row>
    <row r="500" spans="1:16" ht="45">
      <c r="A500" s="116" t="s">
        <v>472</v>
      </c>
      <c r="B500" s="26" t="s">
        <v>425</v>
      </c>
      <c r="C500" s="26" t="s">
        <v>26</v>
      </c>
      <c r="D500" s="26" t="s">
        <v>36</v>
      </c>
      <c r="E500" s="26" t="s">
        <v>473</v>
      </c>
      <c r="F500" s="26"/>
      <c r="G500" s="147">
        <f t="shared" ref="G500:N500" si="172">G501</f>
        <v>2750</v>
      </c>
      <c r="H500" s="147">
        <f t="shared" si="172"/>
        <v>1620.1</v>
      </c>
      <c r="I500" s="147">
        <f t="shared" si="172"/>
        <v>0</v>
      </c>
      <c r="J500" s="627">
        <f>J501+J502+J503</f>
        <v>1708.7080000000001</v>
      </c>
      <c r="K500" s="627">
        <f>K501+K502+K503</f>
        <v>0</v>
      </c>
      <c r="L500" s="627">
        <f>L501+L502+L503</f>
        <v>1708.7080000000001</v>
      </c>
      <c r="M500" s="42">
        <f t="shared" si="172"/>
        <v>0</v>
      </c>
      <c r="N500" s="43">
        <f t="shared" si="172"/>
        <v>1000</v>
      </c>
    </row>
    <row r="501" spans="1:16" ht="30">
      <c r="A501" s="116" t="s">
        <v>135</v>
      </c>
      <c r="B501" s="26" t="s">
        <v>425</v>
      </c>
      <c r="C501" s="26" t="s">
        <v>26</v>
      </c>
      <c r="D501" s="26" t="s">
        <v>36</v>
      </c>
      <c r="E501" s="26" t="s">
        <v>473</v>
      </c>
      <c r="F501" s="26" t="s">
        <v>133</v>
      </c>
      <c r="G501" s="147">
        <f>2377+151+222</f>
        <v>2750</v>
      </c>
      <c r="H501" s="147">
        <f>1358.1+262</f>
        <v>1620.1</v>
      </c>
      <c r="I501" s="147"/>
      <c r="J501" s="627">
        <v>1000</v>
      </c>
      <c r="K501" s="627"/>
      <c r="L501" s="627">
        <f>J501+K501</f>
        <v>1000</v>
      </c>
      <c r="M501" s="42"/>
      <c r="N501" s="30">
        <f>L501+M501</f>
        <v>1000</v>
      </c>
      <c r="O501" s="44">
        <v>1000</v>
      </c>
      <c r="P501" s="15">
        <f>L501-O501</f>
        <v>0</v>
      </c>
    </row>
    <row r="502" spans="1:16">
      <c r="A502" s="116" t="s">
        <v>304</v>
      </c>
      <c r="B502" s="26" t="s">
        <v>425</v>
      </c>
      <c r="C502" s="26" t="s">
        <v>26</v>
      </c>
      <c r="D502" s="26" t="s">
        <v>36</v>
      </c>
      <c r="E502" s="26" t="s">
        <v>474</v>
      </c>
      <c r="F502" s="26" t="s">
        <v>305</v>
      </c>
      <c r="G502" s="147"/>
      <c r="H502" s="147"/>
      <c r="I502" s="147"/>
      <c r="J502" s="627">
        <v>135</v>
      </c>
      <c r="K502" s="627"/>
      <c r="L502" s="627">
        <f>J502+K502</f>
        <v>135</v>
      </c>
      <c r="M502" s="42"/>
      <c r="N502" s="30"/>
      <c r="O502" s="44"/>
      <c r="P502" s="15"/>
    </row>
    <row r="503" spans="1:16" ht="30">
      <c r="A503" s="174" t="s">
        <v>141</v>
      </c>
      <c r="B503" s="26" t="s">
        <v>425</v>
      </c>
      <c r="C503" s="26" t="s">
        <v>26</v>
      </c>
      <c r="D503" s="26" t="s">
        <v>36</v>
      </c>
      <c r="E503" s="26" t="s">
        <v>474</v>
      </c>
      <c r="F503" s="26" t="s">
        <v>142</v>
      </c>
      <c r="G503" s="147"/>
      <c r="H503" s="147"/>
      <c r="I503" s="147"/>
      <c r="J503" s="627">
        <v>573.70799999999997</v>
      </c>
      <c r="K503" s="627"/>
      <c r="L503" s="627">
        <f>J503+K503</f>
        <v>573.70799999999997</v>
      </c>
      <c r="M503" s="42"/>
      <c r="N503" s="30"/>
      <c r="O503" s="44"/>
      <c r="P503" s="15"/>
    </row>
    <row r="504" spans="1:16" ht="30" customHeight="1">
      <c r="A504" s="110" t="s">
        <v>475</v>
      </c>
      <c r="B504" s="26" t="s">
        <v>425</v>
      </c>
      <c r="C504" s="26" t="s">
        <v>26</v>
      </c>
      <c r="D504" s="26" t="s">
        <v>36</v>
      </c>
      <c r="E504" s="26" t="s">
        <v>476</v>
      </c>
      <c r="F504" s="26"/>
      <c r="G504" s="147">
        <f t="shared" ref="G504:N505" si="173">G505</f>
        <v>550</v>
      </c>
      <c r="H504" s="147">
        <f t="shared" si="173"/>
        <v>314.39999999999998</v>
      </c>
      <c r="I504" s="147">
        <f t="shared" si="173"/>
        <v>0</v>
      </c>
      <c r="J504" s="627">
        <f t="shared" si="173"/>
        <v>450.79500000000002</v>
      </c>
      <c r="K504" s="627">
        <f t="shared" si="173"/>
        <v>0</v>
      </c>
      <c r="L504" s="627">
        <f t="shared" si="173"/>
        <v>450.79500000000002</v>
      </c>
      <c r="M504" s="42">
        <f t="shared" si="173"/>
        <v>0</v>
      </c>
      <c r="N504" s="43">
        <f t="shared" si="173"/>
        <v>450.79500000000002</v>
      </c>
    </row>
    <row r="505" spans="1:16" ht="30">
      <c r="A505" s="110" t="s">
        <v>477</v>
      </c>
      <c r="B505" s="26" t="s">
        <v>425</v>
      </c>
      <c r="C505" s="26" t="s">
        <v>26</v>
      </c>
      <c r="D505" s="26" t="s">
        <v>36</v>
      </c>
      <c r="E505" s="26" t="s">
        <v>478</v>
      </c>
      <c r="F505" s="26"/>
      <c r="G505" s="147">
        <f t="shared" si="173"/>
        <v>550</v>
      </c>
      <c r="H505" s="147">
        <f t="shared" si="173"/>
        <v>314.39999999999998</v>
      </c>
      <c r="I505" s="147">
        <f t="shared" si="173"/>
        <v>0</v>
      </c>
      <c r="J505" s="627">
        <f t="shared" si="173"/>
        <v>450.79500000000002</v>
      </c>
      <c r="K505" s="627">
        <f t="shared" si="173"/>
        <v>0</v>
      </c>
      <c r="L505" s="627">
        <f>L506</f>
        <v>450.79500000000002</v>
      </c>
      <c r="M505" s="42">
        <f t="shared" si="173"/>
        <v>0</v>
      </c>
      <c r="N505" s="43">
        <f t="shared" si="173"/>
        <v>450.79500000000002</v>
      </c>
    </row>
    <row r="506" spans="1:16" ht="30">
      <c r="A506" s="116" t="s">
        <v>135</v>
      </c>
      <c r="B506" s="26" t="s">
        <v>425</v>
      </c>
      <c r="C506" s="26" t="s">
        <v>26</v>
      </c>
      <c r="D506" s="26" t="s">
        <v>36</v>
      </c>
      <c r="E506" s="26" t="s">
        <v>478</v>
      </c>
      <c r="F506" s="26" t="s">
        <v>133</v>
      </c>
      <c r="G506" s="147">
        <v>550</v>
      </c>
      <c r="H506" s="147">
        <v>314.39999999999998</v>
      </c>
      <c r="I506" s="147"/>
      <c r="J506" s="627">
        <v>450.79500000000002</v>
      </c>
      <c r="K506" s="627"/>
      <c r="L506" s="627">
        <f>J506+K506</f>
        <v>450.79500000000002</v>
      </c>
      <c r="M506" s="42"/>
      <c r="N506" s="30">
        <f>L506+M506</f>
        <v>450.79500000000002</v>
      </c>
      <c r="O506" s="44">
        <v>376</v>
      </c>
      <c r="P506" s="14">
        <f>L506-O506</f>
        <v>74.795000000000016</v>
      </c>
    </row>
    <row r="507" spans="1:16" ht="60">
      <c r="A507" s="116" t="s">
        <v>1073</v>
      </c>
      <c r="B507" s="26" t="s">
        <v>425</v>
      </c>
      <c r="C507" s="26" t="s">
        <v>26</v>
      </c>
      <c r="D507" s="26" t="s">
        <v>36</v>
      </c>
      <c r="E507" s="26" t="s">
        <v>466</v>
      </c>
      <c r="F507" s="26"/>
      <c r="G507" s="147"/>
      <c r="H507" s="147"/>
      <c r="I507" s="147"/>
      <c r="J507" s="627">
        <f>J508</f>
        <v>1000</v>
      </c>
      <c r="K507" s="627">
        <f>K508</f>
        <v>0</v>
      </c>
      <c r="L507" s="627">
        <f>L508</f>
        <v>1000</v>
      </c>
      <c r="M507" s="42"/>
      <c r="N507" s="30"/>
      <c r="O507" s="44"/>
      <c r="P507" s="14"/>
    </row>
    <row r="508" spans="1:16" ht="30">
      <c r="A508" s="116" t="s">
        <v>135</v>
      </c>
      <c r="B508" s="26" t="s">
        <v>425</v>
      </c>
      <c r="C508" s="26" t="s">
        <v>26</v>
      </c>
      <c r="D508" s="26" t="s">
        <v>36</v>
      </c>
      <c r="E508" s="26" t="s">
        <v>466</v>
      </c>
      <c r="F508" s="26" t="s">
        <v>133</v>
      </c>
      <c r="G508" s="147"/>
      <c r="H508" s="147"/>
      <c r="I508" s="147"/>
      <c r="J508" s="627">
        <v>1000</v>
      </c>
      <c r="K508" s="627"/>
      <c r="L508" s="627">
        <f>J508+K508</f>
        <v>1000</v>
      </c>
      <c r="M508" s="42"/>
      <c r="N508" s="30"/>
      <c r="O508" s="44"/>
      <c r="P508" s="14"/>
    </row>
    <row r="509" spans="1:16" s="161" customFormat="1" ht="28.5">
      <c r="A509" s="176" t="s">
        <v>310</v>
      </c>
      <c r="B509" s="34" t="s">
        <v>425</v>
      </c>
      <c r="C509" s="34" t="s">
        <v>28</v>
      </c>
      <c r="D509" s="34"/>
      <c r="E509" s="34"/>
      <c r="F509" s="34"/>
      <c r="G509" s="585">
        <f t="shared" ref="G509:N509" si="174">G510+G522+G557+G563</f>
        <v>-1048.5</v>
      </c>
      <c r="H509" s="585">
        <f t="shared" si="174"/>
        <v>1667</v>
      </c>
      <c r="I509" s="585">
        <f t="shared" si="174"/>
        <v>0</v>
      </c>
      <c r="J509" s="379">
        <f t="shared" si="174"/>
        <v>23899.642999999996</v>
      </c>
      <c r="K509" s="379">
        <f t="shared" si="174"/>
        <v>8720.2870000000003</v>
      </c>
      <c r="L509" s="379">
        <f t="shared" si="174"/>
        <v>32619.929999999997</v>
      </c>
      <c r="M509" s="37">
        <f t="shared" si="174"/>
        <v>550</v>
      </c>
      <c r="N509" s="41">
        <f t="shared" si="174"/>
        <v>27306.37</v>
      </c>
    </row>
    <row r="510" spans="1:16" s="113" customFormat="1" ht="12.75" customHeight="1">
      <c r="A510" s="177" t="s">
        <v>59</v>
      </c>
      <c r="B510" s="25" t="s">
        <v>425</v>
      </c>
      <c r="C510" s="25" t="s">
        <v>28</v>
      </c>
      <c r="D510" s="25" t="s">
        <v>21</v>
      </c>
      <c r="E510" s="25"/>
      <c r="F510" s="25"/>
      <c r="G510" s="568">
        <f t="shared" ref="G510:N511" si="175">G511</f>
        <v>-40</v>
      </c>
      <c r="H510" s="207">
        <f t="shared" ref="H510:N510" si="176">H511+H513+H516</f>
        <v>0</v>
      </c>
      <c r="I510" s="207">
        <f t="shared" si="176"/>
        <v>0</v>
      </c>
      <c r="J510" s="488">
        <f>J511+J513+J516+J520+J518</f>
        <v>1195.5900000000001</v>
      </c>
      <c r="K510" s="488">
        <f t="shared" ref="K510:L510" si="177">K511+K513+K516+K520+K518</f>
        <v>124.2</v>
      </c>
      <c r="L510" s="488">
        <f t="shared" si="177"/>
        <v>1319.7900000000002</v>
      </c>
      <c r="M510" s="70">
        <f t="shared" si="176"/>
        <v>0</v>
      </c>
      <c r="N510" s="122">
        <f t="shared" si="176"/>
        <v>1071.3900000000001</v>
      </c>
    </row>
    <row r="511" spans="1:16" ht="26.25" customHeight="1">
      <c r="A511" s="116" t="s">
        <v>479</v>
      </c>
      <c r="B511" s="26" t="s">
        <v>425</v>
      </c>
      <c r="C511" s="26" t="s">
        <v>28</v>
      </c>
      <c r="D511" s="26" t="s">
        <v>21</v>
      </c>
      <c r="E511" s="26" t="s">
        <v>480</v>
      </c>
      <c r="F511" s="26"/>
      <c r="G511" s="147">
        <f t="shared" si="175"/>
        <v>-40</v>
      </c>
      <c r="H511" s="147">
        <f t="shared" si="175"/>
        <v>0</v>
      </c>
      <c r="I511" s="147">
        <f t="shared" si="175"/>
        <v>0</v>
      </c>
      <c r="J511" s="627">
        <f t="shared" si="175"/>
        <v>1000</v>
      </c>
      <c r="K511" s="627">
        <f t="shared" si="175"/>
        <v>0</v>
      </c>
      <c r="L511" s="627">
        <f t="shared" si="175"/>
        <v>1000</v>
      </c>
      <c r="M511" s="42">
        <f t="shared" si="175"/>
        <v>0</v>
      </c>
      <c r="N511" s="43">
        <f t="shared" si="175"/>
        <v>1000</v>
      </c>
    </row>
    <row r="512" spans="1:16" ht="28.5" customHeight="1">
      <c r="A512" s="116" t="s">
        <v>135</v>
      </c>
      <c r="B512" s="26" t="s">
        <v>425</v>
      </c>
      <c r="C512" s="26" t="s">
        <v>28</v>
      </c>
      <c r="D512" s="26" t="s">
        <v>21</v>
      </c>
      <c r="E512" s="26" t="s">
        <v>480</v>
      </c>
      <c r="F512" s="26" t="s">
        <v>133</v>
      </c>
      <c r="G512" s="147">
        <v>-40</v>
      </c>
      <c r="H512" s="589"/>
      <c r="I512" s="147"/>
      <c r="J512" s="627">
        <v>1000</v>
      </c>
      <c r="K512" s="627"/>
      <c r="L512" s="627">
        <f>J512+K512</f>
        <v>1000</v>
      </c>
      <c r="M512" s="42"/>
      <c r="N512" s="30">
        <f>L512+M512</f>
        <v>1000</v>
      </c>
    </row>
    <row r="513" spans="1:18" ht="75.75" customHeight="1">
      <c r="A513" s="178" t="s">
        <v>314</v>
      </c>
      <c r="B513" s="26" t="s">
        <v>425</v>
      </c>
      <c r="C513" s="26" t="s">
        <v>28</v>
      </c>
      <c r="D513" s="26" t="s">
        <v>21</v>
      </c>
      <c r="E513" s="26" t="s">
        <v>315</v>
      </c>
      <c r="F513" s="26"/>
      <c r="G513" s="147"/>
      <c r="H513" s="589">
        <f t="shared" ref="H513:N513" si="178">H514</f>
        <v>0</v>
      </c>
      <c r="I513" s="589">
        <f t="shared" si="178"/>
        <v>0</v>
      </c>
      <c r="J513" s="627">
        <f t="shared" si="178"/>
        <v>71.39</v>
      </c>
      <c r="K513" s="627">
        <f t="shared" si="178"/>
        <v>0</v>
      </c>
      <c r="L513" s="627">
        <f t="shared" si="178"/>
        <v>71.39</v>
      </c>
      <c r="M513" s="29">
        <f t="shared" si="178"/>
        <v>0</v>
      </c>
      <c r="N513" s="30">
        <f t="shared" si="178"/>
        <v>71.39</v>
      </c>
    </row>
    <row r="514" spans="1:18">
      <c r="A514" s="519" t="s">
        <v>304</v>
      </c>
      <c r="B514" s="26" t="s">
        <v>425</v>
      </c>
      <c r="C514" s="26" t="s">
        <v>28</v>
      </c>
      <c r="D514" s="26" t="s">
        <v>21</v>
      </c>
      <c r="E514" s="26" t="s">
        <v>481</v>
      </c>
      <c r="F514" s="26" t="s">
        <v>305</v>
      </c>
      <c r="G514" s="147"/>
      <c r="H514" s="589"/>
      <c r="I514" s="589"/>
      <c r="J514" s="627">
        <v>71.39</v>
      </c>
      <c r="K514" s="627"/>
      <c r="L514" s="627">
        <f>J514+K514</f>
        <v>71.39</v>
      </c>
      <c r="M514" s="29"/>
      <c r="N514" s="30">
        <f>L514+M514</f>
        <v>71.39</v>
      </c>
      <c r="O514" s="44"/>
    </row>
    <row r="515" spans="1:18" ht="17.25" hidden="1" customHeight="1">
      <c r="A515" s="110" t="s">
        <v>482</v>
      </c>
      <c r="B515" s="26" t="s">
        <v>425</v>
      </c>
      <c r="C515" s="26" t="s">
        <v>28</v>
      </c>
      <c r="D515" s="26" t="s">
        <v>21</v>
      </c>
      <c r="E515" s="26" t="s">
        <v>469</v>
      </c>
      <c r="F515" s="26" t="s">
        <v>133</v>
      </c>
      <c r="G515" s="147"/>
      <c r="H515" s="589"/>
      <c r="I515" s="589"/>
      <c r="J515" s="627"/>
      <c r="K515" s="627"/>
      <c r="L515" s="627"/>
      <c r="M515" s="29"/>
      <c r="N515" s="30"/>
    </row>
    <row r="516" spans="1:18" ht="72.75" customHeight="1">
      <c r="A516" s="518" t="s">
        <v>314</v>
      </c>
      <c r="B516" s="26" t="s">
        <v>425</v>
      </c>
      <c r="C516" s="26" t="s">
        <v>28</v>
      </c>
      <c r="D516" s="26" t="s">
        <v>21</v>
      </c>
      <c r="E516" s="26" t="s">
        <v>315</v>
      </c>
      <c r="F516" s="26"/>
      <c r="G516" s="147"/>
      <c r="H516" s="589">
        <f t="shared" ref="H516:N516" si="179">H517</f>
        <v>0</v>
      </c>
      <c r="I516" s="589">
        <f t="shared" si="179"/>
        <v>0</v>
      </c>
      <c r="J516" s="627">
        <f t="shared" si="179"/>
        <v>0</v>
      </c>
      <c r="K516" s="627">
        <f t="shared" si="179"/>
        <v>0</v>
      </c>
      <c r="L516" s="627">
        <f t="shared" si="179"/>
        <v>0</v>
      </c>
      <c r="M516" s="29">
        <f t="shared" si="179"/>
        <v>0</v>
      </c>
      <c r="N516" s="30">
        <f t="shared" si="179"/>
        <v>0</v>
      </c>
      <c r="R516" s="11">
        <f>O514+O517</f>
        <v>0</v>
      </c>
    </row>
    <row r="517" spans="1:18">
      <c r="A517" s="519" t="s">
        <v>304</v>
      </c>
      <c r="B517" s="26" t="s">
        <v>425</v>
      </c>
      <c r="C517" s="26" t="s">
        <v>28</v>
      </c>
      <c r="D517" s="26" t="s">
        <v>21</v>
      </c>
      <c r="E517" s="26" t="s">
        <v>317</v>
      </c>
      <c r="F517" s="26" t="s">
        <v>305</v>
      </c>
      <c r="G517" s="147"/>
      <c r="H517" s="589"/>
      <c r="I517" s="147"/>
      <c r="J517" s="627">
        <v>0</v>
      </c>
      <c r="K517" s="627"/>
      <c r="L517" s="627">
        <f>J517+K517</f>
        <v>0</v>
      </c>
      <c r="M517" s="42"/>
      <c r="N517" s="30">
        <f>L517+M517</f>
        <v>0</v>
      </c>
      <c r="O517" s="44"/>
    </row>
    <row r="518" spans="1:18" ht="64.5">
      <c r="A518" s="520" t="s">
        <v>1200</v>
      </c>
      <c r="B518" s="26" t="s">
        <v>425</v>
      </c>
      <c r="C518" s="26" t="s">
        <v>28</v>
      </c>
      <c r="D518" s="26" t="s">
        <v>21</v>
      </c>
      <c r="E518" s="26" t="s">
        <v>1201</v>
      </c>
      <c r="F518" s="26"/>
      <c r="G518" s="147"/>
      <c r="H518" s="589"/>
      <c r="I518" s="147"/>
      <c r="J518" s="627">
        <f>J519</f>
        <v>0</v>
      </c>
      <c r="K518" s="627">
        <f t="shared" ref="K518:L518" si="180">K519</f>
        <v>124.2</v>
      </c>
      <c r="L518" s="627">
        <f t="shared" si="180"/>
        <v>124.2</v>
      </c>
      <c r="M518" s="42"/>
      <c r="N518" s="61"/>
      <c r="O518" s="44"/>
    </row>
    <row r="519" spans="1:18">
      <c r="A519" s="519" t="s">
        <v>304</v>
      </c>
      <c r="B519" s="26" t="s">
        <v>425</v>
      </c>
      <c r="C519" s="26" t="s">
        <v>28</v>
      </c>
      <c r="D519" s="26" t="s">
        <v>21</v>
      </c>
      <c r="E519" s="26" t="s">
        <v>1201</v>
      </c>
      <c r="F519" s="26" t="s">
        <v>305</v>
      </c>
      <c r="G519" s="147"/>
      <c r="H519" s="589"/>
      <c r="I519" s="147"/>
      <c r="J519" s="627"/>
      <c r="K519" s="627">
        <v>124.2</v>
      </c>
      <c r="L519" s="627">
        <f>J519+K519</f>
        <v>124.2</v>
      </c>
      <c r="M519" s="42"/>
      <c r="N519" s="61"/>
      <c r="O519" s="44"/>
    </row>
    <row r="520" spans="1:18" ht="75">
      <c r="A520" s="178" t="s">
        <v>1184</v>
      </c>
      <c r="B520" s="26" t="s">
        <v>425</v>
      </c>
      <c r="C520" s="26" t="s">
        <v>28</v>
      </c>
      <c r="D520" s="26" t="s">
        <v>21</v>
      </c>
      <c r="E520" s="26" t="s">
        <v>1174</v>
      </c>
      <c r="F520" s="26"/>
      <c r="G520" s="147"/>
      <c r="H520" s="589"/>
      <c r="I520" s="147"/>
      <c r="J520" s="627">
        <f>J521</f>
        <v>124.2</v>
      </c>
      <c r="K520" s="627">
        <f t="shared" ref="K520" si="181">K521</f>
        <v>0</v>
      </c>
      <c r="L520" s="627">
        <f>L521</f>
        <v>124.2</v>
      </c>
      <c r="M520" s="42"/>
      <c r="N520" s="61"/>
      <c r="O520" s="44"/>
    </row>
    <row r="521" spans="1:18" ht="30">
      <c r="A521" s="116" t="s">
        <v>135</v>
      </c>
      <c r="B521" s="26" t="s">
        <v>425</v>
      </c>
      <c r="C521" s="26" t="s">
        <v>28</v>
      </c>
      <c r="D521" s="26" t="s">
        <v>21</v>
      </c>
      <c r="E521" s="26" t="s">
        <v>1174</v>
      </c>
      <c r="F521" s="26" t="s">
        <v>133</v>
      </c>
      <c r="G521" s="147"/>
      <c r="H521" s="589"/>
      <c r="I521" s="147"/>
      <c r="J521" s="627">
        <v>124.2</v>
      </c>
      <c r="K521" s="627"/>
      <c r="L521" s="627">
        <f>J521+K521</f>
        <v>124.2</v>
      </c>
      <c r="M521" s="42"/>
      <c r="N521" s="61"/>
      <c r="O521" s="44"/>
    </row>
    <row r="522" spans="1:18" s="113" customFormat="1">
      <c r="A522" s="110" t="s">
        <v>60</v>
      </c>
      <c r="B522" s="25" t="s">
        <v>425</v>
      </c>
      <c r="C522" s="25" t="s">
        <v>28</v>
      </c>
      <c r="D522" s="25" t="s">
        <v>22</v>
      </c>
      <c r="E522" s="25"/>
      <c r="F522" s="25"/>
      <c r="G522" s="568">
        <f>G533+G538+G550+G543</f>
        <v>2000</v>
      </c>
      <c r="H522" s="207">
        <f>H533+H538+H550+H543+H541+H526+H536</f>
        <v>1667</v>
      </c>
      <c r="I522" s="207">
        <f>I533+I538+I550+I543+I541+I526+I536</f>
        <v>0</v>
      </c>
      <c r="J522" s="488">
        <f>J533+J550+J543+J538+J526+J536+J523+J555+J531</f>
        <v>20814.052999999996</v>
      </c>
      <c r="K522" s="488">
        <f>K533+K550+K543+K538+K526+K536+K523+K555+K531</f>
        <v>8706.0869999999995</v>
      </c>
      <c r="L522" s="488">
        <f>L533+L550+L543+L538+L526+L536+L523+L555+L531</f>
        <v>29520.139999999996</v>
      </c>
      <c r="M522" s="60">
        <f>M533+M550+M543+M538+M526+M536+M523+M555</f>
        <v>550</v>
      </c>
      <c r="N522" s="569">
        <f>N533+N550+N543+N538+N526+N536+N523+N555</f>
        <v>25954.98</v>
      </c>
    </row>
    <row r="523" spans="1:18" s="113" customFormat="1" ht="60" hidden="1">
      <c r="A523" s="110" t="s">
        <v>468</v>
      </c>
      <c r="B523" s="26" t="s">
        <v>425</v>
      </c>
      <c r="C523" s="26" t="s">
        <v>28</v>
      </c>
      <c r="D523" s="26" t="s">
        <v>22</v>
      </c>
      <c r="E523" s="26" t="s">
        <v>469</v>
      </c>
      <c r="F523" s="26"/>
      <c r="G523" s="147"/>
      <c r="H523" s="589"/>
      <c r="I523" s="589"/>
      <c r="J523" s="627">
        <f>J524+J525</f>
        <v>0</v>
      </c>
      <c r="K523" s="627">
        <f>K524+K525</f>
        <v>0</v>
      </c>
      <c r="L523" s="627">
        <f>L524+L525</f>
        <v>0</v>
      </c>
      <c r="M523" s="29">
        <f>M524+M525</f>
        <v>0</v>
      </c>
      <c r="N523" s="30">
        <f>N524+N525</f>
        <v>0</v>
      </c>
    </row>
    <row r="524" spans="1:18" s="113" customFormat="1" hidden="1">
      <c r="A524" s="110" t="s">
        <v>470</v>
      </c>
      <c r="B524" s="26" t="s">
        <v>425</v>
      </c>
      <c r="C524" s="26" t="s">
        <v>28</v>
      </c>
      <c r="D524" s="26" t="s">
        <v>22</v>
      </c>
      <c r="E524" s="26" t="s">
        <v>469</v>
      </c>
      <c r="F524" s="26" t="s">
        <v>471</v>
      </c>
      <c r="G524" s="147"/>
      <c r="H524" s="589"/>
      <c r="I524" s="589"/>
      <c r="J524" s="628"/>
      <c r="K524" s="628"/>
      <c r="L524" s="628">
        <f>J524+K524</f>
        <v>0</v>
      </c>
      <c r="M524" s="29"/>
      <c r="N524" s="30">
        <f>L524+M524</f>
        <v>0</v>
      </c>
      <c r="O524" s="179"/>
      <c r="R524" s="113">
        <f>O524+O499+O579+O628</f>
        <v>2905</v>
      </c>
    </row>
    <row r="525" spans="1:18" s="113" customFormat="1" ht="30" hidden="1">
      <c r="A525" s="110" t="s">
        <v>482</v>
      </c>
      <c r="B525" s="26" t="s">
        <v>425</v>
      </c>
      <c r="C525" s="26" t="s">
        <v>28</v>
      </c>
      <c r="D525" s="26" t="s">
        <v>22</v>
      </c>
      <c r="E525" s="26" t="s">
        <v>483</v>
      </c>
      <c r="F525" s="26" t="s">
        <v>133</v>
      </c>
      <c r="G525" s="147"/>
      <c r="H525" s="589"/>
      <c r="I525" s="589"/>
      <c r="J525" s="627"/>
      <c r="K525" s="627"/>
      <c r="L525" s="627">
        <f>J525+K525</f>
        <v>0</v>
      </c>
      <c r="M525" s="29"/>
      <c r="N525" s="30">
        <f>L525+M525</f>
        <v>0</v>
      </c>
    </row>
    <row r="526" spans="1:18" s="113" customFormat="1" ht="45" hidden="1">
      <c r="A526" s="110" t="s">
        <v>484</v>
      </c>
      <c r="B526" s="26" t="s">
        <v>425</v>
      </c>
      <c r="C526" s="26" t="s">
        <v>28</v>
      </c>
      <c r="D526" s="26" t="s">
        <v>22</v>
      </c>
      <c r="E526" s="26" t="s">
        <v>485</v>
      </c>
      <c r="F526" s="26"/>
      <c r="G526" s="147"/>
      <c r="H526" s="147">
        <f>H527</f>
        <v>0</v>
      </c>
      <c r="I526" s="147">
        <f>I527</f>
        <v>0</v>
      </c>
      <c r="J526" s="627">
        <f>J527+J530</f>
        <v>0</v>
      </c>
      <c r="K526" s="627">
        <f>K527+K530</f>
        <v>0</v>
      </c>
      <c r="L526" s="627">
        <f>L527+L530</f>
        <v>0</v>
      </c>
      <c r="M526" s="42">
        <f>M527+M530</f>
        <v>0</v>
      </c>
      <c r="N526" s="43">
        <f>N527+N530</f>
        <v>0</v>
      </c>
    </row>
    <row r="527" spans="1:18" s="113" customFormat="1" hidden="1">
      <c r="A527" s="110" t="s">
        <v>470</v>
      </c>
      <c r="B527" s="26" t="s">
        <v>425</v>
      </c>
      <c r="C527" s="26" t="s">
        <v>28</v>
      </c>
      <c r="D527" s="26" t="s">
        <v>22</v>
      </c>
      <c r="E527" s="26" t="s">
        <v>485</v>
      </c>
      <c r="F527" s="26" t="s">
        <v>471</v>
      </c>
      <c r="G527" s="147"/>
      <c r="H527" s="147"/>
      <c r="I527" s="147"/>
      <c r="J527" s="627"/>
      <c r="K527" s="627"/>
      <c r="L527" s="627">
        <f>J527+K527</f>
        <v>0</v>
      </c>
      <c r="M527" s="42"/>
      <c r="N527" s="43">
        <f>L527+M527</f>
        <v>0</v>
      </c>
    </row>
    <row r="528" spans="1:18" s="113" customFormat="1" ht="28.5" hidden="1" customHeight="1">
      <c r="A528" s="110" t="s">
        <v>482</v>
      </c>
      <c r="B528" s="26" t="s">
        <v>425</v>
      </c>
      <c r="C528" s="26" t="s">
        <v>28</v>
      </c>
      <c r="D528" s="26" t="s">
        <v>22</v>
      </c>
      <c r="E528" s="26" t="s">
        <v>485</v>
      </c>
      <c r="F528" s="26"/>
      <c r="G528" s="147"/>
      <c r="H528" s="147"/>
      <c r="I528" s="147"/>
      <c r="J528" s="627"/>
      <c r="K528" s="627"/>
      <c r="L528" s="627">
        <f>J528+K528</f>
        <v>0</v>
      </c>
      <c r="M528" s="42"/>
      <c r="N528" s="43">
        <f>L528+M528</f>
        <v>0</v>
      </c>
    </row>
    <row r="529" spans="1:18" s="113" customFormat="1" ht="27" hidden="1" customHeight="1">
      <c r="A529" s="110" t="s">
        <v>482</v>
      </c>
      <c r="B529" s="26" t="s">
        <v>425</v>
      </c>
      <c r="C529" s="26" t="s">
        <v>28</v>
      </c>
      <c r="D529" s="26" t="s">
        <v>22</v>
      </c>
      <c r="E529" s="26" t="s">
        <v>485</v>
      </c>
      <c r="F529" s="26"/>
      <c r="G529" s="147"/>
      <c r="H529" s="147"/>
      <c r="I529" s="147"/>
      <c r="J529" s="627"/>
      <c r="K529" s="627"/>
      <c r="L529" s="627">
        <f>J529+K529</f>
        <v>0</v>
      </c>
      <c r="M529" s="42"/>
      <c r="N529" s="43">
        <f>L529+M529</f>
        <v>0</v>
      </c>
    </row>
    <row r="530" spans="1:18" s="113" customFormat="1" ht="29.25" hidden="1" customHeight="1">
      <c r="A530" s="110" t="s">
        <v>482</v>
      </c>
      <c r="B530" s="26" t="s">
        <v>425</v>
      </c>
      <c r="C530" s="26" t="s">
        <v>28</v>
      </c>
      <c r="D530" s="26" t="s">
        <v>22</v>
      </c>
      <c r="E530" s="26" t="s">
        <v>485</v>
      </c>
      <c r="F530" s="26" t="s">
        <v>133</v>
      </c>
      <c r="G530" s="147"/>
      <c r="H530" s="147"/>
      <c r="I530" s="147"/>
      <c r="J530" s="627"/>
      <c r="K530" s="627"/>
      <c r="L530" s="627">
        <f>J530+K530</f>
        <v>0</v>
      </c>
      <c r="M530" s="42"/>
      <c r="N530" s="43">
        <f>L530+M530</f>
        <v>0</v>
      </c>
    </row>
    <row r="531" spans="1:18" s="113" customFormat="1" ht="30">
      <c r="A531" s="110" t="s">
        <v>1033</v>
      </c>
      <c r="B531" s="26" t="s">
        <v>425</v>
      </c>
      <c r="C531" s="26" t="s">
        <v>28</v>
      </c>
      <c r="D531" s="26" t="s">
        <v>22</v>
      </c>
      <c r="E531" s="26" t="s">
        <v>483</v>
      </c>
      <c r="F531" s="26"/>
      <c r="G531" s="147"/>
      <c r="H531" s="147"/>
      <c r="I531" s="147"/>
      <c r="J531" s="627">
        <f>J532</f>
        <v>3587.6</v>
      </c>
      <c r="K531" s="627">
        <f>K532</f>
        <v>0</v>
      </c>
      <c r="L531" s="627">
        <f>L532</f>
        <v>3587.6</v>
      </c>
      <c r="M531" s="42"/>
      <c r="N531" s="43"/>
    </row>
    <row r="532" spans="1:18" s="113" customFormat="1">
      <c r="A532" s="116" t="s">
        <v>470</v>
      </c>
      <c r="B532" s="26" t="s">
        <v>425</v>
      </c>
      <c r="C532" s="26" t="s">
        <v>28</v>
      </c>
      <c r="D532" s="26" t="s">
        <v>22</v>
      </c>
      <c r="E532" s="26" t="s">
        <v>483</v>
      </c>
      <c r="F532" s="26" t="s">
        <v>471</v>
      </c>
      <c r="G532" s="147"/>
      <c r="H532" s="147"/>
      <c r="I532" s="147"/>
      <c r="J532" s="627">
        <v>3587.6</v>
      </c>
      <c r="K532" s="627"/>
      <c r="L532" s="627">
        <f>J532+K532</f>
        <v>3587.6</v>
      </c>
      <c r="M532" s="42"/>
      <c r="N532" s="43"/>
    </row>
    <row r="533" spans="1:18" ht="45">
      <c r="A533" s="116" t="s">
        <v>486</v>
      </c>
      <c r="B533" s="26" t="s">
        <v>425</v>
      </c>
      <c r="C533" s="26" t="s">
        <v>28</v>
      </c>
      <c r="D533" s="26" t="s">
        <v>22</v>
      </c>
      <c r="E533" s="26" t="s">
        <v>487</v>
      </c>
      <c r="F533" s="26"/>
      <c r="G533" s="147">
        <f t="shared" ref="G533:N534" si="182">G534</f>
        <v>-2838.8</v>
      </c>
      <c r="H533" s="147">
        <f t="shared" si="182"/>
        <v>1667</v>
      </c>
      <c r="I533" s="147">
        <f t="shared" si="182"/>
        <v>0</v>
      </c>
      <c r="J533" s="627">
        <f t="shared" si="182"/>
        <v>3771.0219999999999</v>
      </c>
      <c r="K533" s="627">
        <f t="shared" si="182"/>
        <v>199</v>
      </c>
      <c r="L533" s="627">
        <f t="shared" si="182"/>
        <v>3970.0219999999999</v>
      </c>
      <c r="M533" s="42">
        <f t="shared" si="182"/>
        <v>550</v>
      </c>
      <c r="N533" s="43">
        <f t="shared" si="182"/>
        <v>4520.0219999999999</v>
      </c>
    </row>
    <row r="534" spans="1:18" ht="60">
      <c r="A534" s="116" t="s">
        <v>468</v>
      </c>
      <c r="B534" s="26" t="s">
        <v>425</v>
      </c>
      <c r="C534" s="26" t="s">
        <v>28</v>
      </c>
      <c r="D534" s="26" t="s">
        <v>22</v>
      </c>
      <c r="E534" s="26" t="s">
        <v>488</v>
      </c>
      <c r="F534" s="26"/>
      <c r="G534" s="147">
        <f t="shared" si="182"/>
        <v>-2838.8</v>
      </c>
      <c r="H534" s="147">
        <f t="shared" si="182"/>
        <v>1667</v>
      </c>
      <c r="I534" s="147">
        <f t="shared" si="182"/>
        <v>0</v>
      </c>
      <c r="J534" s="627">
        <f t="shared" si="182"/>
        <v>3771.0219999999999</v>
      </c>
      <c r="K534" s="627">
        <f t="shared" si="182"/>
        <v>199</v>
      </c>
      <c r="L534" s="627">
        <f t="shared" si="182"/>
        <v>3970.0219999999999</v>
      </c>
      <c r="M534" s="42">
        <f t="shared" si="182"/>
        <v>550</v>
      </c>
      <c r="N534" s="43">
        <f t="shared" si="182"/>
        <v>4520.0219999999999</v>
      </c>
    </row>
    <row r="535" spans="1:18">
      <c r="A535" s="116" t="s">
        <v>470</v>
      </c>
      <c r="B535" s="26" t="s">
        <v>425</v>
      </c>
      <c r="C535" s="26" t="s">
        <v>28</v>
      </c>
      <c r="D535" s="26" t="s">
        <v>22</v>
      </c>
      <c r="E535" s="26" t="s">
        <v>469</v>
      </c>
      <c r="F535" s="26" t="s">
        <v>471</v>
      </c>
      <c r="G535" s="147">
        <f>-2338.8-500</f>
        <v>-2838.8</v>
      </c>
      <c r="H535" s="147">
        <v>1667</v>
      </c>
      <c r="I535" s="147"/>
      <c r="J535" s="627">
        <v>3771.0219999999999</v>
      </c>
      <c r="K535" s="627">
        <v>199</v>
      </c>
      <c r="L535" s="627">
        <f>J535+K535</f>
        <v>3970.0219999999999</v>
      </c>
      <c r="M535" s="42">
        <v>550</v>
      </c>
      <c r="N535" s="30">
        <f>L535+M535</f>
        <v>4520.0219999999999</v>
      </c>
      <c r="O535" s="44">
        <v>1076</v>
      </c>
      <c r="R535" s="15">
        <f>O535+L608</f>
        <v>1076</v>
      </c>
    </row>
    <row r="536" spans="1:18" ht="30">
      <c r="A536" s="178" t="s">
        <v>489</v>
      </c>
      <c r="B536" s="26" t="s">
        <v>425</v>
      </c>
      <c r="C536" s="26" t="s">
        <v>28</v>
      </c>
      <c r="D536" s="26" t="s">
        <v>22</v>
      </c>
      <c r="E536" s="26" t="s">
        <v>490</v>
      </c>
      <c r="F536" s="26"/>
      <c r="G536" s="147"/>
      <c r="H536" s="589">
        <f t="shared" ref="H536:N536" si="183">H537</f>
        <v>0</v>
      </c>
      <c r="I536" s="589">
        <f t="shared" si="183"/>
        <v>0</v>
      </c>
      <c r="J536" s="627">
        <f t="shared" si="183"/>
        <v>1559.8309999999999</v>
      </c>
      <c r="K536" s="627">
        <f t="shared" si="183"/>
        <v>16.527000000000001</v>
      </c>
      <c r="L536" s="627">
        <f t="shared" si="183"/>
        <v>1576.3579999999999</v>
      </c>
      <c r="M536" s="29">
        <f t="shared" si="183"/>
        <v>0</v>
      </c>
      <c r="N536" s="30">
        <f t="shared" si="183"/>
        <v>1576.3579999999999</v>
      </c>
    </row>
    <row r="537" spans="1:18" ht="26.25" customHeight="1">
      <c r="A537" s="116" t="s">
        <v>135</v>
      </c>
      <c r="B537" s="26" t="s">
        <v>425</v>
      </c>
      <c r="C537" s="26" t="s">
        <v>28</v>
      </c>
      <c r="D537" s="26" t="s">
        <v>22</v>
      </c>
      <c r="E537" s="26" t="s">
        <v>490</v>
      </c>
      <c r="F537" s="26" t="s">
        <v>133</v>
      </c>
      <c r="G537" s="147"/>
      <c r="H537" s="589"/>
      <c r="I537" s="147"/>
      <c r="J537" s="627">
        <v>1559.8309999999999</v>
      </c>
      <c r="K537" s="627">
        <f>16.527</f>
        <v>16.527000000000001</v>
      </c>
      <c r="L537" s="627">
        <f>J537+K537</f>
        <v>1576.3579999999999</v>
      </c>
      <c r="M537" s="42"/>
      <c r="N537" s="30">
        <f>L537+M537</f>
        <v>1576.3579999999999</v>
      </c>
      <c r="O537" s="44">
        <v>576</v>
      </c>
      <c r="P537" s="15">
        <f>L537-O537</f>
        <v>1000.3579999999999</v>
      </c>
    </row>
    <row r="538" spans="1:18">
      <c r="A538" s="116" t="s">
        <v>491</v>
      </c>
      <c r="B538" s="26" t="s">
        <v>425</v>
      </c>
      <c r="C538" s="26" t="s">
        <v>28</v>
      </c>
      <c r="D538" s="26" t="s">
        <v>22</v>
      </c>
      <c r="E538" s="26" t="s">
        <v>492</v>
      </c>
      <c r="F538" s="26"/>
      <c r="G538" s="147">
        <f>G539+G541</f>
        <v>0</v>
      </c>
      <c r="H538" s="147"/>
      <c r="I538" s="147">
        <f t="shared" ref="I538:N538" si="184">I539+I541</f>
        <v>0</v>
      </c>
      <c r="J538" s="627">
        <f>J539+J541+J548</f>
        <v>10795.6</v>
      </c>
      <c r="K538" s="627">
        <f t="shared" ref="K538:L538" si="185">K539+K541+K548</f>
        <v>8487.7999999999993</v>
      </c>
      <c r="L538" s="627">
        <f t="shared" si="185"/>
        <v>19283.399999999998</v>
      </c>
      <c r="M538" s="42">
        <f t="shared" si="184"/>
        <v>0</v>
      </c>
      <c r="N538" s="43">
        <f t="shared" si="184"/>
        <v>19258.599999999999</v>
      </c>
    </row>
    <row r="539" spans="1:18" ht="19.5" customHeight="1">
      <c r="A539" s="180" t="s">
        <v>493</v>
      </c>
      <c r="B539" s="26" t="s">
        <v>425</v>
      </c>
      <c r="C539" s="26" t="s">
        <v>28</v>
      </c>
      <c r="D539" s="26" t="s">
        <v>22</v>
      </c>
      <c r="E539" s="26" t="s">
        <v>494</v>
      </c>
      <c r="F539" s="26"/>
      <c r="G539" s="147">
        <f t="shared" ref="G539:N539" si="186">G540</f>
        <v>-1750</v>
      </c>
      <c r="H539" s="147">
        <f t="shared" si="186"/>
        <v>0</v>
      </c>
      <c r="I539" s="147">
        <f t="shared" si="186"/>
        <v>0</v>
      </c>
      <c r="J539" s="627">
        <f t="shared" si="186"/>
        <v>10795.6</v>
      </c>
      <c r="K539" s="627">
        <f t="shared" si="186"/>
        <v>8463</v>
      </c>
      <c r="L539" s="627">
        <f t="shared" si="186"/>
        <v>19258.599999999999</v>
      </c>
      <c r="M539" s="42">
        <f t="shared" si="186"/>
        <v>0</v>
      </c>
      <c r="N539" s="43">
        <f t="shared" si="186"/>
        <v>19258.599999999999</v>
      </c>
    </row>
    <row r="540" spans="1:18" ht="13.5" customHeight="1">
      <c r="A540" s="116" t="s">
        <v>470</v>
      </c>
      <c r="B540" s="26" t="s">
        <v>425</v>
      </c>
      <c r="C540" s="26" t="s">
        <v>28</v>
      </c>
      <c r="D540" s="26" t="s">
        <v>22</v>
      </c>
      <c r="E540" s="26" t="s">
        <v>495</v>
      </c>
      <c r="F540" s="26" t="s">
        <v>471</v>
      </c>
      <c r="G540" s="147">
        <v>-1750</v>
      </c>
      <c r="H540" s="589"/>
      <c r="I540" s="147"/>
      <c r="J540" s="627">
        <v>10795.6</v>
      </c>
      <c r="K540" s="627">
        <f>6498+1965</f>
        <v>8463</v>
      </c>
      <c r="L540" s="627">
        <f>J540+K540</f>
        <v>19258.599999999999</v>
      </c>
      <c r="M540" s="42"/>
      <c r="N540" s="30">
        <f>L540+M540</f>
        <v>19258.599999999999</v>
      </c>
    </row>
    <row r="541" spans="1:18" ht="27.75" hidden="1" customHeight="1">
      <c r="A541" s="180" t="s">
        <v>496</v>
      </c>
      <c r="B541" s="26" t="s">
        <v>425</v>
      </c>
      <c r="C541" s="26" t="s">
        <v>28</v>
      </c>
      <c r="D541" s="26" t="s">
        <v>22</v>
      </c>
      <c r="E541" s="26" t="s">
        <v>497</v>
      </c>
      <c r="F541" s="26"/>
      <c r="G541" s="147">
        <f t="shared" ref="G541:N541" si="187">G542</f>
        <v>1750</v>
      </c>
      <c r="H541" s="147">
        <f t="shared" si="187"/>
        <v>0</v>
      </c>
      <c r="I541" s="147">
        <f t="shared" si="187"/>
        <v>0</v>
      </c>
      <c r="J541" s="627">
        <f t="shared" si="187"/>
        <v>0</v>
      </c>
      <c r="K541" s="627">
        <f t="shared" si="187"/>
        <v>0</v>
      </c>
      <c r="L541" s="627">
        <f t="shared" si="187"/>
        <v>0</v>
      </c>
      <c r="M541" s="42">
        <f t="shared" si="187"/>
        <v>0</v>
      </c>
      <c r="N541" s="43">
        <f t="shared" si="187"/>
        <v>0</v>
      </c>
    </row>
    <row r="542" spans="1:18" ht="13.5" hidden="1" customHeight="1">
      <c r="A542" s="116" t="s">
        <v>470</v>
      </c>
      <c r="B542" s="26" t="s">
        <v>425</v>
      </c>
      <c r="C542" s="26" t="s">
        <v>28</v>
      </c>
      <c r="D542" s="26" t="s">
        <v>22</v>
      </c>
      <c r="E542" s="26" t="s">
        <v>497</v>
      </c>
      <c r="F542" s="26" t="s">
        <v>471</v>
      </c>
      <c r="G542" s="147">
        <v>1750</v>
      </c>
      <c r="H542" s="589"/>
      <c r="I542" s="147"/>
      <c r="J542" s="627"/>
      <c r="K542" s="627"/>
      <c r="L542" s="627">
        <f>J542+K542</f>
        <v>0</v>
      </c>
      <c r="M542" s="42"/>
      <c r="N542" s="30">
        <f>L542+M542</f>
        <v>0</v>
      </c>
    </row>
    <row r="543" spans="1:18" ht="53.25" hidden="1" customHeight="1">
      <c r="A543" s="116" t="s">
        <v>498</v>
      </c>
      <c r="B543" s="26" t="s">
        <v>425</v>
      </c>
      <c r="C543" s="26" t="s">
        <v>28</v>
      </c>
      <c r="D543" s="26" t="s">
        <v>22</v>
      </c>
      <c r="E543" s="26" t="s">
        <v>499</v>
      </c>
      <c r="F543" s="26"/>
      <c r="G543" s="147">
        <f t="shared" ref="G543:M543" si="188">G544+G546</f>
        <v>4338.8</v>
      </c>
      <c r="H543" s="147">
        <f t="shared" si="188"/>
        <v>0</v>
      </c>
      <c r="I543" s="147">
        <f t="shared" si="188"/>
        <v>0</v>
      </c>
      <c r="J543" s="627">
        <f t="shared" si="188"/>
        <v>0</v>
      </c>
      <c r="K543" s="627">
        <f t="shared" si="188"/>
        <v>0</v>
      </c>
      <c r="L543" s="627">
        <f t="shared" si="188"/>
        <v>0</v>
      </c>
      <c r="M543" s="42">
        <f t="shared" si="188"/>
        <v>0</v>
      </c>
      <c r="N543" s="43">
        <f>N544+N546</f>
        <v>0</v>
      </c>
    </row>
    <row r="544" spans="1:18" ht="30" hidden="1" customHeight="1">
      <c r="A544" s="93" t="s">
        <v>500</v>
      </c>
      <c r="B544" s="26" t="s">
        <v>425</v>
      </c>
      <c r="C544" s="26" t="s">
        <v>28</v>
      </c>
      <c r="D544" s="26" t="s">
        <v>22</v>
      </c>
      <c r="E544" s="26" t="s">
        <v>501</v>
      </c>
      <c r="F544" s="26"/>
      <c r="G544" s="147">
        <f t="shared" ref="G544:N544" si="189">G545</f>
        <v>2338.8000000000002</v>
      </c>
      <c r="H544" s="147">
        <f t="shared" si="189"/>
        <v>0</v>
      </c>
      <c r="I544" s="147">
        <f t="shared" si="189"/>
        <v>0</v>
      </c>
      <c r="J544" s="627">
        <f t="shared" si="189"/>
        <v>0</v>
      </c>
      <c r="K544" s="627">
        <f t="shared" si="189"/>
        <v>0</v>
      </c>
      <c r="L544" s="627">
        <f t="shared" si="189"/>
        <v>0</v>
      </c>
      <c r="M544" s="42">
        <f t="shared" si="189"/>
        <v>0</v>
      </c>
      <c r="N544" s="43">
        <f t="shared" si="189"/>
        <v>0</v>
      </c>
    </row>
    <row r="545" spans="1:16" ht="15" hidden="1" customHeight="1">
      <c r="A545" s="116" t="s">
        <v>470</v>
      </c>
      <c r="B545" s="26" t="s">
        <v>425</v>
      </c>
      <c r="C545" s="26" t="s">
        <v>28</v>
      </c>
      <c r="D545" s="26" t="s">
        <v>22</v>
      </c>
      <c r="E545" s="26" t="s">
        <v>501</v>
      </c>
      <c r="F545" s="26" t="s">
        <v>471</v>
      </c>
      <c r="G545" s="147">
        <v>2338.8000000000002</v>
      </c>
      <c r="H545" s="589"/>
      <c r="I545" s="147"/>
      <c r="J545" s="627">
        <f>H545+I545</f>
        <v>0</v>
      </c>
      <c r="K545" s="627">
        <f>1500-1500</f>
        <v>0</v>
      </c>
      <c r="L545" s="627">
        <f>J545+K545</f>
        <v>0</v>
      </c>
      <c r="M545" s="42">
        <f>1500-1500</f>
        <v>0</v>
      </c>
      <c r="N545" s="30">
        <f>L545+M545</f>
        <v>0</v>
      </c>
    </row>
    <row r="546" spans="1:16" ht="60" hidden="1" customHeight="1">
      <c r="A546" s="116" t="s">
        <v>502</v>
      </c>
      <c r="B546" s="26" t="s">
        <v>425</v>
      </c>
      <c r="C546" s="26" t="s">
        <v>28</v>
      </c>
      <c r="D546" s="26" t="s">
        <v>22</v>
      </c>
      <c r="E546" s="26" t="s">
        <v>503</v>
      </c>
      <c r="F546" s="26"/>
      <c r="G546" s="147">
        <f t="shared" ref="G546:N546" si="190">G547</f>
        <v>2000</v>
      </c>
      <c r="H546" s="147">
        <f t="shared" si="190"/>
        <v>0</v>
      </c>
      <c r="I546" s="147">
        <f t="shared" si="190"/>
        <v>0</v>
      </c>
      <c r="J546" s="627">
        <f t="shared" si="190"/>
        <v>0</v>
      </c>
      <c r="K546" s="627">
        <f t="shared" si="190"/>
        <v>0</v>
      </c>
      <c r="L546" s="627">
        <f t="shared" si="190"/>
        <v>0</v>
      </c>
      <c r="M546" s="42">
        <f t="shared" si="190"/>
        <v>0</v>
      </c>
      <c r="N546" s="43">
        <f t="shared" si="190"/>
        <v>0</v>
      </c>
    </row>
    <row r="547" spans="1:16" ht="15" hidden="1" customHeight="1">
      <c r="A547" s="116" t="s">
        <v>470</v>
      </c>
      <c r="B547" s="26" t="s">
        <v>425</v>
      </c>
      <c r="C547" s="26" t="s">
        <v>28</v>
      </c>
      <c r="D547" s="26" t="s">
        <v>22</v>
      </c>
      <c r="E547" s="26" t="s">
        <v>503</v>
      </c>
      <c r="F547" s="26" t="s">
        <v>471</v>
      </c>
      <c r="G547" s="147">
        <v>2000</v>
      </c>
      <c r="H547" s="589"/>
      <c r="I547" s="147"/>
      <c r="J547" s="627">
        <f>H547+I547</f>
        <v>0</v>
      </c>
      <c r="K547" s="627"/>
      <c r="L547" s="627">
        <f>J547+K547</f>
        <v>0</v>
      </c>
      <c r="M547" s="42"/>
      <c r="N547" s="30">
        <f>L547+M547</f>
        <v>0</v>
      </c>
    </row>
    <row r="548" spans="1:16" ht="45">
      <c r="A548" s="116" t="s">
        <v>1199</v>
      </c>
      <c r="B548" s="26" t="s">
        <v>425</v>
      </c>
      <c r="C548" s="26" t="s">
        <v>28</v>
      </c>
      <c r="D548" s="26" t="s">
        <v>22</v>
      </c>
      <c r="E548" s="26" t="s">
        <v>1198</v>
      </c>
      <c r="F548" s="26"/>
      <c r="G548" s="147"/>
      <c r="H548" s="589"/>
      <c r="I548" s="147"/>
      <c r="J548" s="627">
        <f>J549</f>
        <v>0</v>
      </c>
      <c r="K548" s="627">
        <f t="shared" ref="K548:N548" si="191">K549</f>
        <v>24.8</v>
      </c>
      <c r="L548" s="627">
        <f t="shared" si="191"/>
        <v>24.8</v>
      </c>
      <c r="M548" s="466">
        <f t="shared" si="191"/>
        <v>0</v>
      </c>
      <c r="N548" s="378">
        <f t="shared" si="191"/>
        <v>0</v>
      </c>
    </row>
    <row r="549" spans="1:16" ht="15" customHeight="1">
      <c r="A549" s="519" t="s">
        <v>304</v>
      </c>
      <c r="B549" s="26" t="s">
        <v>425</v>
      </c>
      <c r="C549" s="26" t="s">
        <v>28</v>
      </c>
      <c r="D549" s="26" t="s">
        <v>22</v>
      </c>
      <c r="E549" s="26" t="s">
        <v>1198</v>
      </c>
      <c r="F549" s="26" t="s">
        <v>305</v>
      </c>
      <c r="G549" s="147"/>
      <c r="H549" s="589"/>
      <c r="I549" s="147"/>
      <c r="J549" s="627"/>
      <c r="K549" s="627">
        <v>24.8</v>
      </c>
      <c r="L549" s="627">
        <f>J549+K549</f>
        <v>24.8</v>
      </c>
      <c r="M549" s="42"/>
      <c r="N549" s="30"/>
    </row>
    <row r="550" spans="1:16" ht="15" customHeight="1">
      <c r="A550" s="116" t="s">
        <v>504</v>
      </c>
      <c r="B550" s="26" t="s">
        <v>425</v>
      </c>
      <c r="C550" s="26" t="s">
        <v>28</v>
      </c>
      <c r="D550" s="26" t="s">
        <v>22</v>
      </c>
      <c r="E550" s="26" t="s">
        <v>413</v>
      </c>
      <c r="F550" s="26"/>
      <c r="G550" s="147">
        <f t="shared" ref="G550:N550" si="192">G553</f>
        <v>500</v>
      </c>
      <c r="H550" s="147">
        <f t="shared" si="192"/>
        <v>0</v>
      </c>
      <c r="I550" s="147">
        <f t="shared" si="192"/>
        <v>0</v>
      </c>
      <c r="J550" s="627">
        <f>J553+J551</f>
        <v>600</v>
      </c>
      <c r="K550" s="627">
        <f t="shared" ref="K550:L550" si="193">K553+K551</f>
        <v>2.76</v>
      </c>
      <c r="L550" s="627">
        <f t="shared" si="193"/>
        <v>602.76</v>
      </c>
      <c r="M550" s="42">
        <f t="shared" si="192"/>
        <v>0</v>
      </c>
      <c r="N550" s="43">
        <f t="shared" si="192"/>
        <v>600</v>
      </c>
    </row>
    <row r="551" spans="1:16" ht="42" customHeight="1">
      <c r="A551" s="110" t="s">
        <v>225</v>
      </c>
      <c r="B551" s="26" t="s">
        <v>425</v>
      </c>
      <c r="C551" s="26" t="s">
        <v>28</v>
      </c>
      <c r="D551" s="26" t="s">
        <v>22</v>
      </c>
      <c r="E551" s="26" t="s">
        <v>226</v>
      </c>
      <c r="F551" s="26"/>
      <c r="G551" s="67"/>
      <c r="H551" s="66"/>
      <c r="I551" s="67"/>
      <c r="J551" s="627">
        <f>J552</f>
        <v>0</v>
      </c>
      <c r="K551" s="627">
        <f>K552</f>
        <v>2.76</v>
      </c>
      <c r="L551" s="627">
        <f>L552</f>
        <v>2.76</v>
      </c>
      <c r="M551" s="42"/>
      <c r="N551" s="30"/>
      <c r="P551" s="15"/>
    </row>
    <row r="552" spans="1:16" ht="27.75" customHeight="1">
      <c r="A552" s="110" t="s">
        <v>135</v>
      </c>
      <c r="B552" s="26" t="s">
        <v>425</v>
      </c>
      <c r="C552" s="26" t="s">
        <v>28</v>
      </c>
      <c r="D552" s="26" t="s">
        <v>22</v>
      </c>
      <c r="E552" s="26" t="s">
        <v>226</v>
      </c>
      <c r="F552" s="26" t="s">
        <v>133</v>
      </c>
      <c r="G552" s="67"/>
      <c r="H552" s="66"/>
      <c r="I552" s="67"/>
      <c r="J552" s="627"/>
      <c r="K552" s="627">
        <v>2.76</v>
      </c>
      <c r="L552" s="627">
        <f>J552+K552</f>
        <v>2.76</v>
      </c>
      <c r="M552" s="42"/>
      <c r="N552" s="30"/>
      <c r="P552" s="15"/>
    </row>
    <row r="553" spans="1:16" ht="45">
      <c r="A553" s="116" t="s">
        <v>505</v>
      </c>
      <c r="B553" s="26" t="s">
        <v>425</v>
      </c>
      <c r="C553" s="26" t="s">
        <v>28</v>
      </c>
      <c r="D553" s="26" t="s">
        <v>22</v>
      </c>
      <c r="E553" s="26" t="s">
        <v>506</v>
      </c>
      <c r="F553" s="26"/>
      <c r="G553" s="147">
        <f t="shared" ref="G553:N553" si="194">G554</f>
        <v>500</v>
      </c>
      <c r="H553" s="147">
        <f t="shared" si="194"/>
        <v>0</v>
      </c>
      <c r="I553" s="147">
        <f t="shared" si="194"/>
        <v>0</v>
      </c>
      <c r="J553" s="627">
        <f t="shared" si="194"/>
        <v>600</v>
      </c>
      <c r="K553" s="627">
        <f t="shared" si="194"/>
        <v>0</v>
      </c>
      <c r="L553" s="627">
        <f t="shared" si="194"/>
        <v>600</v>
      </c>
      <c r="M553" s="42">
        <f t="shared" si="194"/>
        <v>0</v>
      </c>
      <c r="N553" s="43">
        <f t="shared" si="194"/>
        <v>600</v>
      </c>
    </row>
    <row r="554" spans="1:16" ht="30" customHeight="1">
      <c r="A554" s="116" t="s">
        <v>135</v>
      </c>
      <c r="B554" s="26" t="s">
        <v>425</v>
      </c>
      <c r="C554" s="26" t="s">
        <v>28</v>
      </c>
      <c r="D554" s="26" t="s">
        <v>22</v>
      </c>
      <c r="E554" s="26" t="s">
        <v>506</v>
      </c>
      <c r="F554" s="26" t="s">
        <v>133</v>
      </c>
      <c r="G554" s="147">
        <v>500</v>
      </c>
      <c r="H554" s="589"/>
      <c r="I554" s="147"/>
      <c r="J554" s="627">
        <v>600</v>
      </c>
      <c r="K554" s="627"/>
      <c r="L554" s="627">
        <f>J554+K554</f>
        <v>600</v>
      </c>
      <c r="M554" s="42"/>
      <c r="N554" s="30">
        <f>L554+M554</f>
        <v>600</v>
      </c>
    </row>
    <row r="555" spans="1:16" ht="45">
      <c r="A555" s="116" t="s">
        <v>1035</v>
      </c>
      <c r="B555" s="26" t="s">
        <v>425</v>
      </c>
      <c r="C555" s="26" t="s">
        <v>28</v>
      </c>
      <c r="D555" s="26" t="s">
        <v>22</v>
      </c>
      <c r="E555" s="26" t="s">
        <v>1031</v>
      </c>
      <c r="F555" s="26"/>
      <c r="G555" s="147"/>
      <c r="H555" s="589"/>
      <c r="I555" s="147"/>
      <c r="J555" s="627">
        <f>J556</f>
        <v>500</v>
      </c>
      <c r="K555" s="627">
        <f>K556</f>
        <v>0</v>
      </c>
      <c r="L555" s="627">
        <f>L556</f>
        <v>500</v>
      </c>
      <c r="M555" s="42"/>
      <c r="N555" s="30"/>
    </row>
    <row r="556" spans="1:16" ht="30">
      <c r="A556" s="116" t="s">
        <v>135</v>
      </c>
      <c r="B556" s="26" t="s">
        <v>425</v>
      </c>
      <c r="C556" s="26" t="s">
        <v>28</v>
      </c>
      <c r="D556" s="26" t="s">
        <v>22</v>
      </c>
      <c r="E556" s="26" t="s">
        <v>1031</v>
      </c>
      <c r="F556" s="26" t="s">
        <v>133</v>
      </c>
      <c r="G556" s="147"/>
      <c r="H556" s="589"/>
      <c r="I556" s="147"/>
      <c r="J556" s="627">
        <v>500</v>
      </c>
      <c r="K556" s="627"/>
      <c r="L556" s="627">
        <f>J556+K556</f>
        <v>500</v>
      </c>
      <c r="M556" s="42"/>
      <c r="N556" s="30"/>
    </row>
    <row r="557" spans="1:16" s="113" customFormat="1" ht="17.25" customHeight="1">
      <c r="A557" s="119" t="s">
        <v>507</v>
      </c>
      <c r="B557" s="25" t="s">
        <v>425</v>
      </c>
      <c r="C557" s="25" t="s">
        <v>28</v>
      </c>
      <c r="D557" s="25" t="s">
        <v>24</v>
      </c>
      <c r="E557" s="25"/>
      <c r="F557" s="25"/>
      <c r="G557" s="568">
        <f t="shared" ref="G557:N557" si="195">G558</f>
        <v>-786.5</v>
      </c>
      <c r="H557" s="568">
        <f t="shared" si="195"/>
        <v>0</v>
      </c>
      <c r="I557" s="568">
        <f t="shared" si="195"/>
        <v>0</v>
      </c>
      <c r="J557" s="488">
        <f t="shared" si="195"/>
        <v>1890</v>
      </c>
      <c r="K557" s="488">
        <f t="shared" si="195"/>
        <v>-110</v>
      </c>
      <c r="L557" s="488">
        <f t="shared" si="195"/>
        <v>1780</v>
      </c>
      <c r="M557" s="570">
        <f t="shared" si="195"/>
        <v>0</v>
      </c>
      <c r="N557" s="96">
        <f t="shared" si="195"/>
        <v>280</v>
      </c>
    </row>
    <row r="558" spans="1:16" ht="15.75" customHeight="1">
      <c r="A558" s="174" t="s">
        <v>61</v>
      </c>
      <c r="B558" s="26" t="s">
        <v>425</v>
      </c>
      <c r="C558" s="26" t="s">
        <v>28</v>
      </c>
      <c r="D558" s="26" t="s">
        <v>24</v>
      </c>
      <c r="E558" s="26" t="s">
        <v>508</v>
      </c>
      <c r="F558" s="26"/>
      <c r="G558" s="147">
        <f>G561</f>
        <v>-786.5</v>
      </c>
      <c r="H558" s="147">
        <f>H561</f>
        <v>0</v>
      </c>
      <c r="I558" s="147">
        <f>I561</f>
        <v>0</v>
      </c>
      <c r="J558" s="627">
        <f>J561+J559</f>
        <v>1890</v>
      </c>
      <c r="K558" s="627">
        <f>K561+K559</f>
        <v>-110</v>
      </c>
      <c r="L558" s="627">
        <f>L561+L559</f>
        <v>1780</v>
      </c>
      <c r="M558" s="42">
        <f>M561</f>
        <v>0</v>
      </c>
      <c r="N558" s="43">
        <f>N561</f>
        <v>280</v>
      </c>
    </row>
    <row r="559" spans="1:16" ht="27" customHeight="1">
      <c r="A559" s="174" t="s">
        <v>463</v>
      </c>
      <c r="B559" s="26" t="s">
        <v>425</v>
      </c>
      <c r="C559" s="26" t="s">
        <v>28</v>
      </c>
      <c r="D559" s="26" t="s">
        <v>24</v>
      </c>
      <c r="E559" s="26" t="s">
        <v>1032</v>
      </c>
      <c r="F559" s="26"/>
      <c r="G559" s="147"/>
      <c r="H559" s="147"/>
      <c r="I559" s="147"/>
      <c r="J559" s="627">
        <f>J560</f>
        <v>1500</v>
      </c>
      <c r="K559" s="627">
        <f>K560</f>
        <v>0</v>
      </c>
      <c r="L559" s="627">
        <f>L560</f>
        <v>1500</v>
      </c>
      <c r="M559" s="42"/>
      <c r="N559" s="43"/>
    </row>
    <row r="560" spans="1:16" ht="27.75" customHeight="1">
      <c r="A560" s="116" t="s">
        <v>135</v>
      </c>
      <c r="B560" s="26" t="s">
        <v>425</v>
      </c>
      <c r="C560" s="26" t="s">
        <v>28</v>
      </c>
      <c r="D560" s="26" t="s">
        <v>24</v>
      </c>
      <c r="E560" s="26" t="s">
        <v>1032</v>
      </c>
      <c r="F560" s="26" t="s">
        <v>133</v>
      </c>
      <c r="G560" s="147"/>
      <c r="H560" s="147"/>
      <c r="I560" s="147"/>
      <c r="J560" s="627">
        <v>1500</v>
      </c>
      <c r="K560" s="627"/>
      <c r="L560" s="627">
        <f>J560+K560</f>
        <v>1500</v>
      </c>
      <c r="M560" s="42"/>
      <c r="N560" s="43"/>
    </row>
    <row r="561" spans="1:15" ht="30" customHeight="1">
      <c r="A561" s="174" t="s">
        <v>509</v>
      </c>
      <c r="B561" s="26" t="s">
        <v>425</v>
      </c>
      <c r="C561" s="26" t="s">
        <v>28</v>
      </c>
      <c r="D561" s="26" t="s">
        <v>24</v>
      </c>
      <c r="E561" s="26" t="s">
        <v>510</v>
      </c>
      <c r="F561" s="26"/>
      <c r="G561" s="147">
        <f t="shared" ref="G561:N561" si="196">G562</f>
        <v>-786.5</v>
      </c>
      <c r="H561" s="147">
        <f t="shared" si="196"/>
        <v>0</v>
      </c>
      <c r="I561" s="147">
        <f t="shared" si="196"/>
        <v>0</v>
      </c>
      <c r="J561" s="627">
        <f t="shared" si="196"/>
        <v>390</v>
      </c>
      <c r="K561" s="627">
        <f t="shared" si="196"/>
        <v>-110</v>
      </c>
      <c r="L561" s="627">
        <f t="shared" si="196"/>
        <v>280</v>
      </c>
      <c r="M561" s="42">
        <f t="shared" si="196"/>
        <v>0</v>
      </c>
      <c r="N561" s="43">
        <f t="shared" si="196"/>
        <v>280</v>
      </c>
    </row>
    <row r="562" spans="1:15" ht="30" customHeight="1">
      <c r="A562" s="116" t="s">
        <v>135</v>
      </c>
      <c r="B562" s="26" t="s">
        <v>425</v>
      </c>
      <c r="C562" s="26" t="s">
        <v>28</v>
      </c>
      <c r="D562" s="26" t="s">
        <v>24</v>
      </c>
      <c r="E562" s="26" t="s">
        <v>510</v>
      </c>
      <c r="F562" s="26" t="s">
        <v>133</v>
      </c>
      <c r="G562" s="147">
        <v>-786.5</v>
      </c>
      <c r="H562" s="589"/>
      <c r="I562" s="147"/>
      <c r="J562" s="627">
        <v>390</v>
      </c>
      <c r="K562" s="627">
        <f>-70-40</f>
        <v>-110</v>
      </c>
      <c r="L562" s="627">
        <f>J562+K562</f>
        <v>280</v>
      </c>
      <c r="M562" s="42"/>
      <c r="N562" s="30">
        <f>L562+M562</f>
        <v>280</v>
      </c>
    </row>
    <row r="563" spans="1:15" s="113" customFormat="1" ht="15.75" hidden="1" customHeight="1">
      <c r="A563" s="119" t="s">
        <v>62</v>
      </c>
      <c r="B563" s="25" t="s">
        <v>425</v>
      </c>
      <c r="C563" s="25" t="s">
        <v>28</v>
      </c>
      <c r="D563" s="25" t="s">
        <v>28</v>
      </c>
      <c r="E563" s="25"/>
      <c r="F563" s="25"/>
      <c r="G563" s="568">
        <f t="shared" ref="G563:N563" si="197">G564</f>
        <v>-2222</v>
      </c>
      <c r="H563" s="568">
        <f t="shared" si="197"/>
        <v>0</v>
      </c>
      <c r="I563" s="568">
        <f t="shared" si="197"/>
        <v>0</v>
      </c>
      <c r="J563" s="488">
        <f>J564+J567</f>
        <v>0</v>
      </c>
      <c r="K563" s="488">
        <f>K564+K567</f>
        <v>0</v>
      </c>
      <c r="L563" s="488">
        <f>L564+L567</f>
        <v>0</v>
      </c>
      <c r="M563" s="570">
        <f t="shared" si="197"/>
        <v>0</v>
      </c>
      <c r="N563" s="96">
        <f t="shared" si="197"/>
        <v>0</v>
      </c>
    </row>
    <row r="564" spans="1:15" ht="15" hidden="1" customHeight="1">
      <c r="A564" s="116" t="s">
        <v>468</v>
      </c>
      <c r="B564" s="26" t="s">
        <v>425</v>
      </c>
      <c r="C564" s="26" t="s">
        <v>28</v>
      </c>
      <c r="D564" s="26" t="s">
        <v>28</v>
      </c>
      <c r="E564" s="26" t="s">
        <v>488</v>
      </c>
      <c r="F564" s="26"/>
      <c r="G564" s="147">
        <f t="shared" ref="G564:M564" si="198">G565+G566</f>
        <v>-2222</v>
      </c>
      <c r="H564" s="147">
        <f t="shared" si="198"/>
        <v>0</v>
      </c>
      <c r="I564" s="147">
        <f t="shared" si="198"/>
        <v>0</v>
      </c>
      <c r="J564" s="627">
        <f t="shared" si="198"/>
        <v>0</v>
      </c>
      <c r="K564" s="627">
        <f t="shared" si="198"/>
        <v>0</v>
      </c>
      <c r="L564" s="627">
        <f t="shared" si="198"/>
        <v>0</v>
      </c>
      <c r="M564" s="42">
        <f t="shared" si="198"/>
        <v>0</v>
      </c>
      <c r="N564" s="43">
        <f>N565+N566</f>
        <v>0</v>
      </c>
    </row>
    <row r="565" spans="1:15" ht="18" hidden="1" customHeight="1">
      <c r="A565" s="116" t="s">
        <v>470</v>
      </c>
      <c r="B565" s="26" t="s">
        <v>425</v>
      </c>
      <c r="C565" s="26" t="s">
        <v>28</v>
      </c>
      <c r="D565" s="26" t="s">
        <v>28</v>
      </c>
      <c r="E565" s="26" t="s">
        <v>485</v>
      </c>
      <c r="F565" s="26" t="s">
        <v>471</v>
      </c>
      <c r="G565" s="147">
        <v>-2000</v>
      </c>
      <c r="H565" s="589"/>
      <c r="I565" s="147"/>
      <c r="J565" s="627">
        <f>H565+I565</f>
        <v>0</v>
      </c>
      <c r="K565" s="627"/>
      <c r="L565" s="627">
        <f>J565+K565</f>
        <v>0</v>
      </c>
      <c r="M565" s="42"/>
      <c r="N565" s="30">
        <f>L565+M565</f>
        <v>0</v>
      </c>
    </row>
    <row r="566" spans="1:15" ht="15.75" hidden="1" customHeight="1">
      <c r="A566" s="116" t="s">
        <v>511</v>
      </c>
      <c r="B566" s="26" t="s">
        <v>425</v>
      </c>
      <c r="C566" s="26" t="s">
        <v>28</v>
      </c>
      <c r="D566" s="26" t="s">
        <v>28</v>
      </c>
      <c r="E566" s="26" t="s">
        <v>469</v>
      </c>
      <c r="F566" s="26" t="s">
        <v>471</v>
      </c>
      <c r="G566" s="147">
        <v>-222</v>
      </c>
      <c r="H566" s="589"/>
      <c r="I566" s="147"/>
      <c r="J566" s="627">
        <f>H566+I566</f>
        <v>0</v>
      </c>
      <c r="K566" s="627"/>
      <c r="L566" s="627">
        <f>J566+K566</f>
        <v>0</v>
      </c>
      <c r="M566" s="42"/>
      <c r="N566" s="30">
        <f>L566+M566</f>
        <v>0</v>
      </c>
      <c r="O566" s="44"/>
    </row>
    <row r="567" spans="1:15" ht="15" hidden="1" customHeight="1">
      <c r="A567" s="116" t="s">
        <v>512</v>
      </c>
      <c r="B567" s="26" t="s">
        <v>425</v>
      </c>
      <c r="C567" s="26" t="s">
        <v>28</v>
      </c>
      <c r="D567" s="26" t="s">
        <v>28</v>
      </c>
      <c r="E567" s="26" t="s">
        <v>499</v>
      </c>
      <c r="F567" s="26"/>
      <c r="G567" s="147"/>
      <c r="H567" s="589"/>
      <c r="I567" s="147"/>
      <c r="J567" s="627">
        <f>J568</f>
        <v>0</v>
      </c>
      <c r="K567" s="627">
        <f>K568</f>
        <v>0</v>
      </c>
      <c r="L567" s="627">
        <f>L568</f>
        <v>0</v>
      </c>
      <c r="M567" s="42"/>
      <c r="N567" s="30"/>
    </row>
    <row r="568" spans="1:15" ht="12.75" hidden="1" customHeight="1">
      <c r="A568" s="116" t="s">
        <v>470</v>
      </c>
      <c r="B568" s="26" t="s">
        <v>425</v>
      </c>
      <c r="C568" s="26" t="s">
        <v>28</v>
      </c>
      <c r="D568" s="26" t="s">
        <v>28</v>
      </c>
      <c r="E568" s="26" t="s">
        <v>503</v>
      </c>
      <c r="F568" s="26" t="s">
        <v>471</v>
      </c>
      <c r="G568" s="147"/>
      <c r="H568" s="589"/>
      <c r="I568" s="147"/>
      <c r="J568" s="627">
        <f>H568+I568</f>
        <v>0</v>
      </c>
      <c r="K568" s="627"/>
      <c r="L568" s="627">
        <f>J568+K568</f>
        <v>0</v>
      </c>
      <c r="M568" s="42"/>
      <c r="N568" s="30"/>
    </row>
    <row r="569" spans="1:15" s="161" customFormat="1" ht="14.25">
      <c r="A569" s="181" t="s">
        <v>63</v>
      </c>
      <c r="B569" s="34" t="s">
        <v>425</v>
      </c>
      <c r="C569" s="34" t="s">
        <v>32</v>
      </c>
      <c r="D569" s="34"/>
      <c r="E569" s="34"/>
      <c r="F569" s="34"/>
      <c r="G569" s="585" t="e">
        <f>G592+G598+#REF!</f>
        <v>#REF!</v>
      </c>
      <c r="H569" s="588">
        <f>H592+H598+H570</f>
        <v>682.72</v>
      </c>
      <c r="I569" s="588">
        <f>I592+I598+I570</f>
        <v>0</v>
      </c>
      <c r="J569" s="379">
        <f>J570+J574+J592+J598+J601</f>
        <v>84605.830999999991</v>
      </c>
      <c r="K569" s="379">
        <f t="shared" ref="K569:L569" si="199">K570+K574+K592+K598+K601</f>
        <v>32000.652000000002</v>
      </c>
      <c r="L569" s="379">
        <f t="shared" si="199"/>
        <v>116606.48299999999</v>
      </c>
      <c r="M569" s="36">
        <f>M570+M574+M592+M598</f>
        <v>0</v>
      </c>
      <c r="N569" s="94">
        <f>N570+N574+N592+N598</f>
        <v>8227.2829999999994</v>
      </c>
    </row>
    <row r="570" spans="1:15" ht="18" customHeight="1">
      <c r="A570" s="182" t="s">
        <v>65</v>
      </c>
      <c r="B570" s="25" t="s">
        <v>425</v>
      </c>
      <c r="C570" s="25" t="s">
        <v>32</v>
      </c>
      <c r="D570" s="25" t="s">
        <v>21</v>
      </c>
      <c r="E570" s="25"/>
      <c r="F570" s="25"/>
      <c r="G570" s="132"/>
      <c r="H570" s="132">
        <f>H571</f>
        <v>667</v>
      </c>
      <c r="I570" s="132">
        <f t="shared" ref="I570:N572" si="200">I571</f>
        <v>0</v>
      </c>
      <c r="J570" s="488">
        <f>J571</f>
        <v>920.93299999999999</v>
      </c>
      <c r="K570" s="488">
        <f t="shared" si="200"/>
        <v>0</v>
      </c>
      <c r="L570" s="488">
        <f t="shared" si="200"/>
        <v>920.93299999999999</v>
      </c>
      <c r="M570" s="183">
        <f t="shared" si="200"/>
        <v>0</v>
      </c>
      <c r="N570" s="184">
        <f t="shared" si="200"/>
        <v>920.93299999999999</v>
      </c>
    </row>
    <row r="571" spans="1:15" ht="39.75" customHeight="1">
      <c r="A571" s="178" t="s">
        <v>486</v>
      </c>
      <c r="B571" s="26" t="s">
        <v>425</v>
      </c>
      <c r="C571" s="26" t="s">
        <v>32</v>
      </c>
      <c r="D571" s="26" t="s">
        <v>21</v>
      </c>
      <c r="E571" s="26" t="s">
        <v>487</v>
      </c>
      <c r="F571" s="26"/>
      <c r="G571" s="185"/>
      <c r="H571" s="185">
        <f>H572</f>
        <v>667</v>
      </c>
      <c r="I571" s="185">
        <f t="shared" si="200"/>
        <v>0</v>
      </c>
      <c r="J571" s="627">
        <f t="shared" si="200"/>
        <v>920.93299999999999</v>
      </c>
      <c r="K571" s="627">
        <f t="shared" si="200"/>
        <v>0</v>
      </c>
      <c r="L571" s="627">
        <f t="shared" si="200"/>
        <v>920.93299999999999</v>
      </c>
      <c r="M571" s="131">
        <f t="shared" si="200"/>
        <v>0</v>
      </c>
      <c r="N571" s="58">
        <f t="shared" si="200"/>
        <v>920.93299999999999</v>
      </c>
    </row>
    <row r="572" spans="1:15" ht="41.25" customHeight="1">
      <c r="A572" s="178" t="s">
        <v>513</v>
      </c>
      <c r="B572" s="26" t="s">
        <v>425</v>
      </c>
      <c r="C572" s="26" t="s">
        <v>32</v>
      </c>
      <c r="D572" s="26" t="s">
        <v>21</v>
      </c>
      <c r="E572" s="26" t="s">
        <v>469</v>
      </c>
      <c r="F572" s="26"/>
      <c r="G572" s="185"/>
      <c r="H572" s="185">
        <f>H573</f>
        <v>667</v>
      </c>
      <c r="I572" s="185">
        <f t="shared" si="200"/>
        <v>0</v>
      </c>
      <c r="J572" s="627">
        <f t="shared" si="200"/>
        <v>920.93299999999999</v>
      </c>
      <c r="K572" s="627">
        <f t="shared" si="200"/>
        <v>0</v>
      </c>
      <c r="L572" s="627">
        <f t="shared" si="200"/>
        <v>920.93299999999999</v>
      </c>
      <c r="M572" s="131">
        <f t="shared" si="200"/>
        <v>0</v>
      </c>
      <c r="N572" s="58">
        <f t="shared" si="200"/>
        <v>920.93299999999999</v>
      </c>
    </row>
    <row r="573" spans="1:15" ht="18" customHeight="1">
      <c r="A573" s="178" t="s">
        <v>470</v>
      </c>
      <c r="B573" s="26" t="s">
        <v>425</v>
      </c>
      <c r="C573" s="26" t="s">
        <v>32</v>
      </c>
      <c r="D573" s="26" t="s">
        <v>21</v>
      </c>
      <c r="E573" s="26" t="s">
        <v>469</v>
      </c>
      <c r="F573" s="26" t="s">
        <v>471</v>
      </c>
      <c r="G573" s="185"/>
      <c r="H573" s="185">
        <v>667</v>
      </c>
      <c r="I573" s="185"/>
      <c r="J573" s="627">
        <v>920.93299999999999</v>
      </c>
      <c r="K573" s="627"/>
      <c r="L573" s="627">
        <f>J573+K573</f>
        <v>920.93299999999999</v>
      </c>
      <c r="M573" s="99"/>
      <c r="N573" s="30">
        <f>L573+M573</f>
        <v>920.93299999999999</v>
      </c>
      <c r="O573" s="11">
        <v>565</v>
      </c>
    </row>
    <row r="574" spans="1:15">
      <c r="A574" s="24" t="s">
        <v>66</v>
      </c>
      <c r="B574" s="25" t="s">
        <v>425</v>
      </c>
      <c r="C574" s="25" t="s">
        <v>32</v>
      </c>
      <c r="D574" s="25" t="s">
        <v>22</v>
      </c>
      <c r="E574" s="26"/>
      <c r="F574" s="26"/>
      <c r="G574" s="185"/>
      <c r="H574" s="185"/>
      <c r="I574" s="185"/>
      <c r="J574" s="488">
        <f>J575+J582+J589+J580</f>
        <v>83358.997999999992</v>
      </c>
      <c r="K574" s="488">
        <f>K575+K582+K589+K580</f>
        <v>32047.202000000001</v>
      </c>
      <c r="L574" s="488">
        <f>L575+L582+L589+L580</f>
        <v>115406.2</v>
      </c>
      <c r="M574" s="29">
        <f>M578+M582+M590</f>
        <v>0</v>
      </c>
      <c r="N574" s="30">
        <f>N578+N582+N590</f>
        <v>7267.2</v>
      </c>
    </row>
    <row r="575" spans="1:15" ht="60">
      <c r="A575" s="116" t="s">
        <v>468</v>
      </c>
      <c r="B575" s="26" t="s">
        <v>425</v>
      </c>
      <c r="C575" s="26" t="s">
        <v>32</v>
      </c>
      <c r="D575" s="26" t="s">
        <v>22</v>
      </c>
      <c r="E575" s="26" t="s">
        <v>487</v>
      </c>
      <c r="F575" s="26"/>
      <c r="G575" s="185"/>
      <c r="H575" s="185"/>
      <c r="I575" s="185"/>
      <c r="J575" s="627">
        <f>J576+J578</f>
        <v>53532.264000000003</v>
      </c>
      <c r="K575" s="627">
        <f>K576+K578</f>
        <v>22000</v>
      </c>
      <c r="L575" s="627">
        <f>L576+L578</f>
        <v>75532.263999999996</v>
      </c>
      <c r="M575" s="29"/>
      <c r="N575" s="30"/>
    </row>
    <row r="576" spans="1:15" ht="60">
      <c r="A576" s="116" t="s">
        <v>468</v>
      </c>
      <c r="B576" s="26" t="s">
        <v>425</v>
      </c>
      <c r="C576" s="26" t="s">
        <v>32</v>
      </c>
      <c r="D576" s="26" t="s">
        <v>22</v>
      </c>
      <c r="E576" s="26" t="s">
        <v>1072</v>
      </c>
      <c r="F576" s="26"/>
      <c r="G576" s="185"/>
      <c r="H576" s="185"/>
      <c r="I576" s="185"/>
      <c r="J576" s="627">
        <f>J577</f>
        <v>50000</v>
      </c>
      <c r="K576" s="627">
        <f>K577</f>
        <v>22000</v>
      </c>
      <c r="L576" s="627">
        <f>L577</f>
        <v>72000</v>
      </c>
      <c r="M576" s="29"/>
      <c r="N576" s="30"/>
    </row>
    <row r="577" spans="1:15">
      <c r="A577" s="116" t="s">
        <v>470</v>
      </c>
      <c r="B577" s="26" t="s">
        <v>425</v>
      </c>
      <c r="C577" s="26" t="s">
        <v>32</v>
      </c>
      <c r="D577" s="26" t="s">
        <v>22</v>
      </c>
      <c r="E577" s="26" t="s">
        <v>1072</v>
      </c>
      <c r="F577" s="26" t="s">
        <v>471</v>
      </c>
      <c r="G577" s="185"/>
      <c r="H577" s="185"/>
      <c r="I577" s="185"/>
      <c r="J577" s="627">
        <v>50000</v>
      </c>
      <c r="K577" s="627">
        <v>22000</v>
      </c>
      <c r="L577" s="627">
        <f>J577+K577</f>
        <v>72000</v>
      </c>
      <c r="M577" s="29"/>
      <c r="N577" s="30"/>
    </row>
    <row r="578" spans="1:15" ht="60">
      <c r="A578" s="116" t="s">
        <v>468</v>
      </c>
      <c r="B578" s="26" t="s">
        <v>425</v>
      </c>
      <c r="C578" s="26" t="s">
        <v>32</v>
      </c>
      <c r="D578" s="26" t="s">
        <v>22</v>
      </c>
      <c r="E578" s="26" t="s">
        <v>469</v>
      </c>
      <c r="F578" s="26"/>
      <c r="G578" s="185"/>
      <c r="H578" s="185"/>
      <c r="I578" s="185"/>
      <c r="J578" s="627">
        <f>J579</f>
        <v>3532.2640000000001</v>
      </c>
      <c r="K578" s="627">
        <f>K579</f>
        <v>0</v>
      </c>
      <c r="L578" s="627">
        <f>L579</f>
        <v>3532.2640000000001</v>
      </c>
      <c r="M578" s="29">
        <f>M579+M580</f>
        <v>0</v>
      </c>
      <c r="N578" s="30">
        <f>N579+N580</f>
        <v>3832.2640000000001</v>
      </c>
    </row>
    <row r="579" spans="1:15" ht="16.5" customHeight="1">
      <c r="A579" s="116" t="s">
        <v>470</v>
      </c>
      <c r="B579" s="26" t="s">
        <v>425</v>
      </c>
      <c r="C579" s="26" t="s">
        <v>32</v>
      </c>
      <c r="D579" s="26" t="s">
        <v>22</v>
      </c>
      <c r="E579" s="26" t="s">
        <v>469</v>
      </c>
      <c r="F579" s="26" t="s">
        <v>471</v>
      </c>
      <c r="G579" s="185"/>
      <c r="H579" s="185"/>
      <c r="I579" s="185"/>
      <c r="J579" s="627">
        <v>3532.2640000000001</v>
      </c>
      <c r="K579" s="627"/>
      <c r="L579" s="627">
        <f>J579+K579</f>
        <v>3532.2640000000001</v>
      </c>
      <c r="M579" s="99"/>
      <c r="N579" s="30">
        <f>L579+M579</f>
        <v>3532.2640000000001</v>
      </c>
      <c r="O579" s="11">
        <v>2905</v>
      </c>
    </row>
    <row r="580" spans="1:15" ht="30" customHeight="1">
      <c r="A580" s="31" t="s">
        <v>145</v>
      </c>
      <c r="B580" s="26" t="s">
        <v>425</v>
      </c>
      <c r="C580" s="26" t="s">
        <v>32</v>
      </c>
      <c r="D580" s="26" t="s">
        <v>22</v>
      </c>
      <c r="E580" s="26" t="s">
        <v>203</v>
      </c>
      <c r="F580" s="26"/>
      <c r="G580" s="185"/>
      <c r="H580" s="185"/>
      <c r="I580" s="185"/>
      <c r="J580" s="627">
        <f>J581</f>
        <v>300</v>
      </c>
      <c r="K580" s="627">
        <f>K581</f>
        <v>0</v>
      </c>
      <c r="L580" s="627">
        <f>L581</f>
        <v>300</v>
      </c>
      <c r="M580" s="99"/>
      <c r="N580" s="30">
        <f>L580+M580</f>
        <v>300</v>
      </c>
    </row>
    <row r="581" spans="1:15" ht="30" customHeight="1">
      <c r="A581" s="31" t="s">
        <v>197</v>
      </c>
      <c r="B581" s="26" t="s">
        <v>425</v>
      </c>
      <c r="C581" s="26" t="s">
        <v>32</v>
      </c>
      <c r="D581" s="26" t="s">
        <v>22</v>
      </c>
      <c r="E581" s="26" t="s">
        <v>203</v>
      </c>
      <c r="F581" s="26" t="s">
        <v>142</v>
      </c>
      <c r="G581" s="185"/>
      <c r="H581" s="185"/>
      <c r="I581" s="185"/>
      <c r="J581" s="627">
        <v>300</v>
      </c>
      <c r="K581" s="627"/>
      <c r="L581" s="627">
        <f>J581+K581</f>
        <v>300</v>
      </c>
      <c r="M581" s="99"/>
      <c r="N581" s="30"/>
    </row>
    <row r="582" spans="1:15" ht="15" customHeight="1">
      <c r="A582" s="116" t="s">
        <v>491</v>
      </c>
      <c r="B582" s="26" t="s">
        <v>425</v>
      </c>
      <c r="C582" s="26" t="s">
        <v>32</v>
      </c>
      <c r="D582" s="26" t="s">
        <v>22</v>
      </c>
      <c r="E582" s="26" t="s">
        <v>492</v>
      </c>
      <c r="F582" s="26"/>
      <c r="G582" s="27">
        <f t="shared" ref="G582:L582" si="201">G583+G587+G585</f>
        <v>158.01599999999999</v>
      </c>
      <c r="H582" s="27">
        <f t="shared" si="201"/>
        <v>2334</v>
      </c>
      <c r="I582" s="27">
        <f t="shared" si="201"/>
        <v>0</v>
      </c>
      <c r="J582" s="627">
        <f t="shared" si="201"/>
        <v>26139</v>
      </c>
      <c r="K582" s="627">
        <f t="shared" si="201"/>
        <v>10000</v>
      </c>
      <c r="L582" s="627">
        <f t="shared" si="201"/>
        <v>36139</v>
      </c>
      <c r="M582" s="28">
        <f>M583</f>
        <v>0</v>
      </c>
      <c r="N582" s="55">
        <f>N583</f>
        <v>0</v>
      </c>
    </row>
    <row r="583" spans="1:15" ht="45">
      <c r="A583" s="110" t="s">
        <v>514</v>
      </c>
      <c r="B583" s="26" t="s">
        <v>425</v>
      </c>
      <c r="C583" s="26" t="s">
        <v>32</v>
      </c>
      <c r="D583" s="26" t="s">
        <v>22</v>
      </c>
      <c r="E583" s="26" t="s">
        <v>495</v>
      </c>
      <c r="F583" s="26"/>
      <c r="G583" s="592">
        <f t="shared" ref="G583:L583" si="202">G584</f>
        <v>52.671999999999997</v>
      </c>
      <c r="H583" s="592">
        <f t="shared" si="202"/>
        <v>778</v>
      </c>
      <c r="I583" s="592">
        <f t="shared" si="202"/>
        <v>0</v>
      </c>
      <c r="J583" s="627">
        <f t="shared" si="202"/>
        <v>0</v>
      </c>
      <c r="K583" s="627">
        <f t="shared" si="202"/>
        <v>0</v>
      </c>
      <c r="L583" s="627">
        <f t="shared" si="202"/>
        <v>0</v>
      </c>
      <c r="M583" s="28">
        <f>M584</f>
        <v>0</v>
      </c>
      <c r="N583" s="55">
        <f>N584</f>
        <v>0</v>
      </c>
    </row>
    <row r="584" spans="1:15">
      <c r="A584" s="110" t="s">
        <v>470</v>
      </c>
      <c r="B584" s="26" t="s">
        <v>425</v>
      </c>
      <c r="C584" s="26" t="s">
        <v>32</v>
      </c>
      <c r="D584" s="26" t="s">
        <v>22</v>
      </c>
      <c r="E584" s="26" t="s">
        <v>495</v>
      </c>
      <c r="F584" s="26" t="s">
        <v>471</v>
      </c>
      <c r="G584" s="592">
        <f>52.672</f>
        <v>52.671999999999997</v>
      </c>
      <c r="H584" s="589">
        <v>778</v>
      </c>
      <c r="I584" s="592"/>
      <c r="J584" s="627">
        <f>4000-4000</f>
        <v>0</v>
      </c>
      <c r="K584" s="627"/>
      <c r="L584" s="627">
        <f>J584+K584</f>
        <v>0</v>
      </c>
      <c r="M584" s="28"/>
      <c r="N584" s="30">
        <f>L584+M584</f>
        <v>0</v>
      </c>
    </row>
    <row r="585" spans="1:15" ht="45">
      <c r="A585" s="110" t="s">
        <v>514</v>
      </c>
      <c r="B585" s="26" t="s">
        <v>425</v>
      </c>
      <c r="C585" s="26" t="s">
        <v>32</v>
      </c>
      <c r="D585" s="26" t="s">
        <v>22</v>
      </c>
      <c r="E585" s="26" t="s">
        <v>494</v>
      </c>
      <c r="F585" s="26"/>
      <c r="G585" s="592">
        <f t="shared" ref="G585:L585" si="203">G586</f>
        <v>52.671999999999997</v>
      </c>
      <c r="H585" s="592">
        <f t="shared" si="203"/>
        <v>778</v>
      </c>
      <c r="I585" s="592">
        <f t="shared" si="203"/>
        <v>0</v>
      </c>
      <c r="J585" s="627">
        <f t="shared" si="203"/>
        <v>4000</v>
      </c>
      <c r="K585" s="627">
        <f t="shared" si="203"/>
        <v>10000</v>
      </c>
      <c r="L585" s="627">
        <f t="shared" si="203"/>
        <v>14000</v>
      </c>
      <c r="M585" s="28"/>
      <c r="N585" s="30"/>
    </row>
    <row r="586" spans="1:15">
      <c r="A586" s="110" t="s">
        <v>470</v>
      </c>
      <c r="B586" s="26" t="s">
        <v>425</v>
      </c>
      <c r="C586" s="26" t="s">
        <v>32</v>
      </c>
      <c r="D586" s="26" t="s">
        <v>22</v>
      </c>
      <c r="E586" s="26" t="s">
        <v>494</v>
      </c>
      <c r="F586" s="26" t="s">
        <v>471</v>
      </c>
      <c r="G586" s="592">
        <f>52.672</f>
        <v>52.671999999999997</v>
      </c>
      <c r="H586" s="589">
        <v>778</v>
      </c>
      <c r="I586" s="592"/>
      <c r="J586" s="627">
        <f>4000</f>
        <v>4000</v>
      </c>
      <c r="K586" s="627">
        <v>10000</v>
      </c>
      <c r="L586" s="627">
        <f>J586+K586</f>
        <v>14000</v>
      </c>
      <c r="M586" s="28"/>
      <c r="N586" s="30"/>
    </row>
    <row r="587" spans="1:15" ht="45">
      <c r="A587" s="110" t="s">
        <v>515</v>
      </c>
      <c r="B587" s="26" t="s">
        <v>425</v>
      </c>
      <c r="C587" s="26" t="s">
        <v>32</v>
      </c>
      <c r="D587" s="26" t="s">
        <v>22</v>
      </c>
      <c r="E587" s="26" t="s">
        <v>516</v>
      </c>
      <c r="F587" s="26"/>
      <c r="G587" s="592">
        <f t="shared" ref="G587:L587" si="204">G588</f>
        <v>52.671999999999997</v>
      </c>
      <c r="H587" s="592">
        <f t="shared" si="204"/>
        <v>778</v>
      </c>
      <c r="I587" s="592">
        <f t="shared" si="204"/>
        <v>0</v>
      </c>
      <c r="J587" s="627">
        <f t="shared" si="204"/>
        <v>22139</v>
      </c>
      <c r="K587" s="627">
        <f t="shared" si="204"/>
        <v>0</v>
      </c>
      <c r="L587" s="627">
        <f t="shared" si="204"/>
        <v>22139</v>
      </c>
      <c r="M587" s="28"/>
      <c r="N587" s="30"/>
    </row>
    <row r="588" spans="1:15">
      <c r="A588" s="110" t="s">
        <v>470</v>
      </c>
      <c r="B588" s="26" t="s">
        <v>425</v>
      </c>
      <c r="C588" s="26" t="s">
        <v>32</v>
      </c>
      <c r="D588" s="26" t="s">
        <v>22</v>
      </c>
      <c r="E588" s="26" t="s">
        <v>516</v>
      </c>
      <c r="F588" s="26" t="s">
        <v>471</v>
      </c>
      <c r="G588" s="592">
        <f>52.672</f>
        <v>52.671999999999997</v>
      </c>
      <c r="H588" s="589">
        <v>778</v>
      </c>
      <c r="I588" s="592"/>
      <c r="J588" s="627">
        <v>22139</v>
      </c>
      <c r="K588" s="627"/>
      <c r="L588" s="627">
        <f>J588+K588</f>
        <v>22139</v>
      </c>
      <c r="M588" s="28"/>
      <c r="N588" s="30"/>
    </row>
    <row r="589" spans="1:15" ht="75">
      <c r="A589" s="31" t="s">
        <v>517</v>
      </c>
      <c r="B589" s="26" t="s">
        <v>425</v>
      </c>
      <c r="C589" s="26" t="s">
        <v>32</v>
      </c>
      <c r="D589" s="26" t="s">
        <v>22</v>
      </c>
      <c r="E589" s="26" t="s">
        <v>214</v>
      </c>
      <c r="F589" s="26"/>
      <c r="G589" s="592"/>
      <c r="H589" s="589"/>
      <c r="I589" s="592"/>
      <c r="J589" s="627">
        <f>J590</f>
        <v>3387.7339999999999</v>
      </c>
      <c r="K589" s="627">
        <f>K590</f>
        <v>47.201999999999998</v>
      </c>
      <c r="L589" s="627">
        <f>L590</f>
        <v>3434.9359999999997</v>
      </c>
      <c r="M589" s="28"/>
      <c r="N589" s="30"/>
    </row>
    <row r="590" spans="1:15" ht="28.5" customHeight="1">
      <c r="A590" s="31" t="s">
        <v>145</v>
      </c>
      <c r="B590" s="26" t="s">
        <v>425</v>
      </c>
      <c r="C590" s="26" t="s">
        <v>32</v>
      </c>
      <c r="D590" s="26" t="s">
        <v>22</v>
      </c>
      <c r="E590" s="26" t="s">
        <v>215</v>
      </c>
      <c r="F590" s="26"/>
      <c r="G590" s="147">
        <f t="shared" ref="G590:N590" si="205">G591</f>
        <v>200</v>
      </c>
      <c r="H590" s="147">
        <f t="shared" si="205"/>
        <v>0</v>
      </c>
      <c r="I590" s="147">
        <f t="shared" si="205"/>
        <v>0</v>
      </c>
      <c r="J590" s="627">
        <f t="shared" si="205"/>
        <v>3387.7339999999999</v>
      </c>
      <c r="K590" s="627">
        <f t="shared" si="205"/>
        <v>47.201999999999998</v>
      </c>
      <c r="L590" s="627">
        <f t="shared" si="205"/>
        <v>3434.9359999999997</v>
      </c>
      <c r="M590" s="42">
        <f t="shared" si="205"/>
        <v>0</v>
      </c>
      <c r="N590" s="43">
        <f t="shared" si="205"/>
        <v>3434.9359999999997</v>
      </c>
    </row>
    <row r="591" spans="1:15" ht="18" customHeight="1">
      <c r="A591" s="31" t="s">
        <v>304</v>
      </c>
      <c r="B591" s="26" t="s">
        <v>425</v>
      </c>
      <c r="C591" s="26" t="s">
        <v>32</v>
      </c>
      <c r="D591" s="26" t="s">
        <v>22</v>
      </c>
      <c r="E591" s="26" t="s">
        <v>215</v>
      </c>
      <c r="F591" s="26" t="s">
        <v>305</v>
      </c>
      <c r="G591" s="147">
        <v>200</v>
      </c>
      <c r="H591" s="589"/>
      <c r="I591" s="147"/>
      <c r="J591" s="627">
        <v>3387.7339999999999</v>
      </c>
      <c r="K591" s="627">
        <f>47.202</f>
        <v>47.201999999999998</v>
      </c>
      <c r="L591" s="627">
        <f>J591+K591</f>
        <v>3434.9359999999997</v>
      </c>
      <c r="M591" s="42"/>
      <c r="N591" s="30">
        <f>L591+M591</f>
        <v>3434.9359999999997</v>
      </c>
      <c r="O591" s="32">
        <v>3100.93</v>
      </c>
    </row>
    <row r="592" spans="1:15" s="113" customFormat="1" ht="28.5">
      <c r="A592" s="171" t="s">
        <v>318</v>
      </c>
      <c r="B592" s="25" t="s">
        <v>425</v>
      </c>
      <c r="C592" s="25" t="s">
        <v>32</v>
      </c>
      <c r="D592" s="25" t="s">
        <v>28</v>
      </c>
      <c r="E592" s="25"/>
      <c r="F592" s="25"/>
      <c r="G592" s="207">
        <f t="shared" ref="G592:M592" si="206">G593+G596</f>
        <v>50</v>
      </c>
      <c r="H592" s="207">
        <f t="shared" si="206"/>
        <v>0</v>
      </c>
      <c r="I592" s="207">
        <f t="shared" si="206"/>
        <v>0</v>
      </c>
      <c r="J592" s="488">
        <f>J593+J596</f>
        <v>310.39999999999998</v>
      </c>
      <c r="K592" s="488">
        <f t="shared" si="206"/>
        <v>-286.75</v>
      </c>
      <c r="L592" s="488">
        <f>L593+L596</f>
        <v>23.649999999999977</v>
      </c>
      <c r="M592" s="70">
        <f t="shared" si="206"/>
        <v>0</v>
      </c>
      <c r="N592" s="122">
        <f>N593+N596</f>
        <v>23.649999999999977</v>
      </c>
    </row>
    <row r="593" spans="1:16" ht="30">
      <c r="A593" s="174" t="s">
        <v>128</v>
      </c>
      <c r="B593" s="26" t="s">
        <v>425</v>
      </c>
      <c r="C593" s="26" t="s">
        <v>32</v>
      </c>
      <c r="D593" s="26" t="s">
        <v>28</v>
      </c>
      <c r="E593" s="26" t="s">
        <v>129</v>
      </c>
      <c r="F593" s="26"/>
      <c r="G593" s="147">
        <f t="shared" ref="G593:N594" si="207">G594</f>
        <v>-42.5</v>
      </c>
      <c r="H593" s="147">
        <f t="shared" si="207"/>
        <v>0</v>
      </c>
      <c r="I593" s="147">
        <f t="shared" si="207"/>
        <v>0</v>
      </c>
      <c r="J593" s="627">
        <f t="shared" si="207"/>
        <v>310.39999999999998</v>
      </c>
      <c r="K593" s="627">
        <f t="shared" si="207"/>
        <v>-286.75</v>
      </c>
      <c r="L593" s="627">
        <f t="shared" si="207"/>
        <v>23.649999999999977</v>
      </c>
      <c r="M593" s="42">
        <f t="shared" si="207"/>
        <v>0</v>
      </c>
      <c r="N593" s="43">
        <f t="shared" si="207"/>
        <v>23.649999999999977</v>
      </c>
    </row>
    <row r="594" spans="1:16" ht="30">
      <c r="A594" s="174" t="s">
        <v>130</v>
      </c>
      <c r="B594" s="26" t="s">
        <v>425</v>
      </c>
      <c r="C594" s="26" t="s">
        <v>32</v>
      </c>
      <c r="D594" s="26" t="s">
        <v>28</v>
      </c>
      <c r="E594" s="26" t="s">
        <v>131</v>
      </c>
      <c r="F594" s="26"/>
      <c r="G594" s="147">
        <f t="shared" si="207"/>
        <v>-42.5</v>
      </c>
      <c r="H594" s="147">
        <f t="shared" si="207"/>
        <v>0</v>
      </c>
      <c r="I594" s="147">
        <f t="shared" si="207"/>
        <v>0</v>
      </c>
      <c r="J594" s="627">
        <f t="shared" si="207"/>
        <v>310.39999999999998</v>
      </c>
      <c r="K594" s="627">
        <f t="shared" si="207"/>
        <v>-286.75</v>
      </c>
      <c r="L594" s="627">
        <f t="shared" si="207"/>
        <v>23.649999999999977</v>
      </c>
      <c r="M594" s="42">
        <f t="shared" si="207"/>
        <v>0</v>
      </c>
      <c r="N594" s="43">
        <f t="shared" si="207"/>
        <v>23.649999999999977</v>
      </c>
    </row>
    <row r="595" spans="1:16" ht="30">
      <c r="A595" s="174" t="s">
        <v>518</v>
      </c>
      <c r="B595" s="26" t="s">
        <v>425</v>
      </c>
      <c r="C595" s="26" t="s">
        <v>32</v>
      </c>
      <c r="D595" s="26" t="s">
        <v>28</v>
      </c>
      <c r="E595" s="26" t="s">
        <v>131</v>
      </c>
      <c r="F595" s="26" t="s">
        <v>133</v>
      </c>
      <c r="G595" s="147">
        <v>-42.5</v>
      </c>
      <c r="H595" s="589"/>
      <c r="I595" s="147"/>
      <c r="J595" s="627">
        <f>426-115.6</f>
        <v>310.39999999999998</v>
      </c>
      <c r="K595" s="627">
        <f>-30.85-31.2-224.7</f>
        <v>-286.75</v>
      </c>
      <c r="L595" s="627">
        <f>J595+K595</f>
        <v>23.649999999999977</v>
      </c>
      <c r="M595" s="42"/>
      <c r="N595" s="30">
        <f>L595+M595</f>
        <v>23.649999999999977</v>
      </c>
      <c r="O595" s="44">
        <v>317.2</v>
      </c>
      <c r="P595" s="45">
        <f>L595-O595</f>
        <v>-293.55</v>
      </c>
    </row>
    <row r="596" spans="1:16" ht="30" hidden="1">
      <c r="A596" s="31" t="s">
        <v>130</v>
      </c>
      <c r="B596" s="26" t="s">
        <v>425</v>
      </c>
      <c r="C596" s="26" t="s">
        <v>32</v>
      </c>
      <c r="D596" s="26" t="s">
        <v>28</v>
      </c>
      <c r="E596" s="26" t="s">
        <v>134</v>
      </c>
      <c r="F596" s="26"/>
      <c r="G596" s="589">
        <f t="shared" ref="G596:N596" si="208">G597</f>
        <v>92.5</v>
      </c>
      <c r="H596" s="589">
        <f t="shared" si="208"/>
        <v>0</v>
      </c>
      <c r="I596" s="589">
        <f t="shared" si="208"/>
        <v>0</v>
      </c>
      <c r="J596" s="627">
        <f t="shared" si="208"/>
        <v>0</v>
      </c>
      <c r="K596" s="627">
        <f t="shared" si="208"/>
        <v>0</v>
      </c>
      <c r="L596" s="627">
        <f t="shared" si="208"/>
        <v>0</v>
      </c>
      <c r="M596" s="29">
        <f t="shared" si="208"/>
        <v>0</v>
      </c>
      <c r="N596" s="30">
        <f t="shared" si="208"/>
        <v>0</v>
      </c>
    </row>
    <row r="597" spans="1:16" ht="30" hidden="1">
      <c r="A597" s="31" t="s">
        <v>135</v>
      </c>
      <c r="B597" s="26" t="s">
        <v>425</v>
      </c>
      <c r="C597" s="26" t="s">
        <v>32</v>
      </c>
      <c r="D597" s="26" t="s">
        <v>28</v>
      </c>
      <c r="E597" s="26" t="s">
        <v>134</v>
      </c>
      <c r="F597" s="26" t="s">
        <v>133</v>
      </c>
      <c r="G597" s="589">
        <f>42.5+50</f>
        <v>92.5</v>
      </c>
      <c r="H597" s="589"/>
      <c r="I597" s="589"/>
      <c r="J597" s="627"/>
      <c r="K597" s="627"/>
      <c r="L597" s="627">
        <f>J597+K597</f>
        <v>0</v>
      </c>
      <c r="M597" s="29"/>
      <c r="N597" s="30">
        <f>L597+M597</f>
        <v>0</v>
      </c>
    </row>
    <row r="598" spans="1:16" s="113" customFormat="1" ht="30">
      <c r="A598" s="116" t="s">
        <v>68</v>
      </c>
      <c r="B598" s="25" t="s">
        <v>425</v>
      </c>
      <c r="C598" s="25" t="s">
        <v>32</v>
      </c>
      <c r="D598" s="25" t="s">
        <v>32</v>
      </c>
      <c r="E598" s="25"/>
      <c r="F598" s="25"/>
      <c r="G598" s="568">
        <f t="shared" ref="G598:N599" si="209">G599</f>
        <v>0</v>
      </c>
      <c r="H598" s="568">
        <f t="shared" si="209"/>
        <v>15.72</v>
      </c>
      <c r="I598" s="568">
        <f t="shared" si="209"/>
        <v>0</v>
      </c>
      <c r="J598" s="488">
        <f t="shared" si="209"/>
        <v>15.5</v>
      </c>
      <c r="K598" s="488">
        <f t="shared" si="209"/>
        <v>0</v>
      </c>
      <c r="L598" s="488">
        <f t="shared" si="209"/>
        <v>15.5</v>
      </c>
      <c r="M598" s="570">
        <f t="shared" si="209"/>
        <v>0</v>
      </c>
      <c r="N598" s="96">
        <f t="shared" si="209"/>
        <v>15.5</v>
      </c>
    </row>
    <row r="599" spans="1:16" ht="45">
      <c r="A599" s="116" t="s">
        <v>1158</v>
      </c>
      <c r="B599" s="26" t="s">
        <v>425</v>
      </c>
      <c r="C599" s="26" t="s">
        <v>32</v>
      </c>
      <c r="D599" s="26" t="s">
        <v>32</v>
      </c>
      <c r="E599" s="26" t="s">
        <v>1141</v>
      </c>
      <c r="F599" s="26"/>
      <c r="G599" s="147">
        <f t="shared" si="209"/>
        <v>0</v>
      </c>
      <c r="H599" s="147">
        <f t="shared" si="209"/>
        <v>15.72</v>
      </c>
      <c r="I599" s="147">
        <f t="shared" si="209"/>
        <v>0</v>
      </c>
      <c r="J599" s="627">
        <f t="shared" si="209"/>
        <v>15.5</v>
      </c>
      <c r="K599" s="627">
        <f t="shared" si="209"/>
        <v>0</v>
      </c>
      <c r="L599" s="627">
        <f t="shared" si="209"/>
        <v>15.5</v>
      </c>
      <c r="M599" s="42">
        <f t="shared" si="209"/>
        <v>0</v>
      </c>
      <c r="N599" s="43">
        <f t="shared" si="209"/>
        <v>15.5</v>
      </c>
    </row>
    <row r="600" spans="1:16" ht="30">
      <c r="A600" s="116" t="s">
        <v>135</v>
      </c>
      <c r="B600" s="26" t="s">
        <v>425</v>
      </c>
      <c r="C600" s="26" t="s">
        <v>32</v>
      </c>
      <c r="D600" s="26" t="s">
        <v>32</v>
      </c>
      <c r="E600" s="26" t="s">
        <v>1141</v>
      </c>
      <c r="F600" s="26" t="s">
        <v>133</v>
      </c>
      <c r="G600" s="147"/>
      <c r="H600" s="147">
        <v>15.72</v>
      </c>
      <c r="I600" s="147"/>
      <c r="J600" s="627">
        <v>15.5</v>
      </c>
      <c r="K600" s="627"/>
      <c r="L600" s="627">
        <f>J600+K600</f>
        <v>15.5</v>
      </c>
      <c r="M600" s="42"/>
      <c r="N600" s="30">
        <f>L600+M600</f>
        <v>15.5</v>
      </c>
    </row>
    <row r="601" spans="1:16" ht="29.25">
      <c r="A601" s="24" t="s">
        <v>69</v>
      </c>
      <c r="B601" s="25" t="s">
        <v>186</v>
      </c>
      <c r="C601" s="25" t="s">
        <v>32</v>
      </c>
      <c r="D601" s="25" t="s">
        <v>47</v>
      </c>
      <c r="E601" s="26"/>
      <c r="F601" s="26"/>
      <c r="G601" s="147"/>
      <c r="H601" s="147"/>
      <c r="I601" s="147"/>
      <c r="J601" s="627">
        <f>J602</f>
        <v>0</v>
      </c>
      <c r="K601" s="627">
        <f t="shared" ref="K601:L602" si="210">K602</f>
        <v>240.2</v>
      </c>
      <c r="L601" s="627">
        <f t="shared" si="210"/>
        <v>240.2</v>
      </c>
      <c r="M601" s="42"/>
      <c r="N601" s="30"/>
    </row>
    <row r="602" spans="1:16" ht="45">
      <c r="A602" s="31" t="s">
        <v>1205</v>
      </c>
      <c r="B602" s="26" t="s">
        <v>186</v>
      </c>
      <c r="C602" s="26" t="s">
        <v>32</v>
      </c>
      <c r="D602" s="26" t="s">
        <v>47</v>
      </c>
      <c r="E602" s="26" t="s">
        <v>176</v>
      </c>
      <c r="F602" s="26"/>
      <c r="G602" s="147"/>
      <c r="H602" s="147"/>
      <c r="I602" s="147"/>
      <c r="J602" s="627">
        <f>J603</f>
        <v>0</v>
      </c>
      <c r="K602" s="627">
        <f t="shared" si="210"/>
        <v>240.2</v>
      </c>
      <c r="L602" s="627">
        <f t="shared" si="210"/>
        <v>240.2</v>
      </c>
      <c r="M602" s="42"/>
      <c r="N602" s="30"/>
    </row>
    <row r="603" spans="1:16" ht="30">
      <c r="A603" s="174" t="s">
        <v>518</v>
      </c>
      <c r="B603" s="26" t="s">
        <v>186</v>
      </c>
      <c r="C603" s="26" t="s">
        <v>32</v>
      </c>
      <c r="D603" s="26" t="s">
        <v>47</v>
      </c>
      <c r="E603" s="26" t="s">
        <v>176</v>
      </c>
      <c r="F603" s="26" t="s">
        <v>142</v>
      </c>
      <c r="G603" s="147"/>
      <c r="H603" s="147"/>
      <c r="I603" s="147"/>
      <c r="J603" s="627"/>
      <c r="K603" s="627">
        <v>240.2</v>
      </c>
      <c r="L603" s="627">
        <f>J603+K603</f>
        <v>240.2</v>
      </c>
      <c r="M603" s="42"/>
      <c r="N603" s="30"/>
    </row>
    <row r="604" spans="1:16" s="161" customFormat="1" ht="28.5">
      <c r="A604" s="176" t="s">
        <v>521</v>
      </c>
      <c r="B604" s="34" t="s">
        <v>425</v>
      </c>
      <c r="C604" s="34" t="s">
        <v>53</v>
      </c>
      <c r="D604" s="34"/>
      <c r="E604" s="34"/>
      <c r="F604" s="34"/>
      <c r="G604" s="585">
        <f>G611+G619</f>
        <v>50</v>
      </c>
      <c r="H604" s="585">
        <f>H611+H619</f>
        <v>710</v>
      </c>
      <c r="I604" s="585">
        <f>I611+I619</f>
        <v>0</v>
      </c>
      <c r="J604" s="379">
        <f>J611+J619+J605+J615</f>
        <v>129.73699999999999</v>
      </c>
      <c r="K604" s="379">
        <f>K611+K619+K605+K615</f>
        <v>47</v>
      </c>
      <c r="L604" s="379">
        <f>L611+L619+L605+L615</f>
        <v>176.73699999999999</v>
      </c>
      <c r="M604" s="40">
        <f>M611+M619+M605</f>
        <v>-102</v>
      </c>
      <c r="N604" s="41">
        <f>N611+N619+N605</f>
        <v>-102</v>
      </c>
    </row>
    <row r="605" spans="1:16" s="161" customFormat="1" hidden="1">
      <c r="A605" s="110" t="s">
        <v>72</v>
      </c>
      <c r="B605" s="25" t="s">
        <v>425</v>
      </c>
      <c r="C605" s="25" t="s">
        <v>53</v>
      </c>
      <c r="D605" s="25" t="s">
        <v>21</v>
      </c>
      <c r="E605" s="34"/>
      <c r="F605" s="34"/>
      <c r="G605" s="585"/>
      <c r="H605" s="585"/>
      <c r="I605" s="585"/>
      <c r="J605" s="488">
        <f>J606+J609</f>
        <v>0</v>
      </c>
      <c r="K605" s="488">
        <f>K606+K609</f>
        <v>0</v>
      </c>
      <c r="L605" s="488">
        <f>L606+L609</f>
        <v>0</v>
      </c>
      <c r="M605" s="570">
        <f>M606</f>
        <v>0</v>
      </c>
      <c r="N605" s="96">
        <f>N606</f>
        <v>0</v>
      </c>
    </row>
    <row r="606" spans="1:16" s="161" customFormat="1" ht="60" hidden="1">
      <c r="A606" s="110" t="s">
        <v>468</v>
      </c>
      <c r="B606" s="26" t="s">
        <v>425</v>
      </c>
      <c r="C606" s="26" t="s">
        <v>53</v>
      </c>
      <c r="D606" s="26" t="s">
        <v>21</v>
      </c>
      <c r="E606" s="26" t="s">
        <v>488</v>
      </c>
      <c r="F606" s="26"/>
      <c r="G606" s="614"/>
      <c r="H606" s="614"/>
      <c r="I606" s="614"/>
      <c r="J606" s="627">
        <f>J607+J608</f>
        <v>0</v>
      </c>
      <c r="K606" s="627">
        <f>K607+K608</f>
        <v>0</v>
      </c>
      <c r="L606" s="627">
        <f>L607+L608</f>
        <v>0</v>
      </c>
      <c r="M606" s="42">
        <f>M607+M608</f>
        <v>0</v>
      </c>
      <c r="N606" s="43">
        <f>N607+N608</f>
        <v>0</v>
      </c>
    </row>
    <row r="607" spans="1:16" s="161" customFormat="1" hidden="1">
      <c r="A607" s="110" t="s">
        <v>470</v>
      </c>
      <c r="B607" s="26" t="s">
        <v>425</v>
      </c>
      <c r="C607" s="26" t="s">
        <v>53</v>
      </c>
      <c r="D607" s="26" t="s">
        <v>21</v>
      </c>
      <c r="E607" s="26" t="s">
        <v>483</v>
      </c>
      <c r="F607" s="26" t="s">
        <v>471</v>
      </c>
      <c r="G607" s="614"/>
      <c r="H607" s="614"/>
      <c r="I607" s="614"/>
      <c r="J607" s="634"/>
      <c r="K607" s="634"/>
      <c r="L607" s="627">
        <f>J607+K607</f>
        <v>0</v>
      </c>
      <c r="M607" s="186"/>
      <c r="N607" s="187">
        <f>L607+M607</f>
        <v>0</v>
      </c>
    </row>
    <row r="608" spans="1:16" s="161" customFormat="1" ht="30" hidden="1">
      <c r="A608" s="110" t="s">
        <v>482</v>
      </c>
      <c r="B608" s="26" t="s">
        <v>425</v>
      </c>
      <c r="C608" s="26" t="s">
        <v>53</v>
      </c>
      <c r="D608" s="26" t="s">
        <v>21</v>
      </c>
      <c r="E608" s="26" t="s">
        <v>469</v>
      </c>
      <c r="F608" s="26" t="s">
        <v>471</v>
      </c>
      <c r="G608" s="614"/>
      <c r="H608" s="614"/>
      <c r="I608" s="614"/>
      <c r="J608" s="634"/>
      <c r="K608" s="627">
        <f>1550-759.14-690.86-100</f>
        <v>0</v>
      </c>
      <c r="L608" s="627">
        <f>J608+K608</f>
        <v>0</v>
      </c>
      <c r="M608" s="186"/>
      <c r="N608" s="187">
        <f>L608+M608</f>
        <v>0</v>
      </c>
      <c r="O608" s="125"/>
    </row>
    <row r="609" spans="1:15" s="161" customFormat="1" ht="30" hidden="1">
      <c r="A609" s="180" t="s">
        <v>522</v>
      </c>
      <c r="B609" s="26" t="s">
        <v>425</v>
      </c>
      <c r="C609" s="26" t="s">
        <v>53</v>
      </c>
      <c r="D609" s="26" t="s">
        <v>21</v>
      </c>
      <c r="E609" s="26" t="s">
        <v>523</v>
      </c>
      <c r="F609" s="26"/>
      <c r="G609" s="614"/>
      <c r="H609" s="614"/>
      <c r="I609" s="614"/>
      <c r="J609" s="627">
        <f>J610</f>
        <v>0</v>
      </c>
      <c r="K609" s="627">
        <f>K610</f>
        <v>0</v>
      </c>
      <c r="L609" s="627">
        <f>L610</f>
        <v>0</v>
      </c>
      <c r="M609" s="186"/>
      <c r="N609" s="187"/>
    </row>
    <row r="610" spans="1:15" s="161" customFormat="1" hidden="1">
      <c r="A610" s="116" t="s">
        <v>470</v>
      </c>
      <c r="B610" s="26" t="s">
        <v>425</v>
      </c>
      <c r="C610" s="26" t="s">
        <v>53</v>
      </c>
      <c r="D610" s="26" t="s">
        <v>21</v>
      </c>
      <c r="E610" s="26" t="s">
        <v>495</v>
      </c>
      <c r="F610" s="26" t="s">
        <v>471</v>
      </c>
      <c r="G610" s="614"/>
      <c r="H610" s="614"/>
      <c r="I610" s="614"/>
      <c r="J610" s="627"/>
      <c r="K610" s="627"/>
      <c r="L610" s="627">
        <f>J610+K610</f>
        <v>0</v>
      </c>
      <c r="M610" s="186"/>
      <c r="N610" s="187"/>
      <c r="O610" s="161">
        <v>8000</v>
      </c>
    </row>
    <row r="611" spans="1:15" s="113" customFormat="1" ht="27.75" hidden="1" customHeight="1">
      <c r="A611" s="109" t="s">
        <v>73</v>
      </c>
      <c r="B611" s="25" t="s">
        <v>425</v>
      </c>
      <c r="C611" s="25" t="s">
        <v>53</v>
      </c>
      <c r="D611" s="25" t="s">
        <v>26</v>
      </c>
      <c r="E611" s="25"/>
      <c r="F611" s="25"/>
      <c r="G611" s="568">
        <f t="shared" ref="G611:N613" si="211">G612</f>
        <v>0</v>
      </c>
      <c r="H611" s="568">
        <f t="shared" si="211"/>
        <v>666</v>
      </c>
      <c r="I611" s="568">
        <f t="shared" si="211"/>
        <v>0</v>
      </c>
      <c r="J611" s="488">
        <f>J612</f>
        <v>0</v>
      </c>
      <c r="K611" s="488">
        <f t="shared" si="211"/>
        <v>0</v>
      </c>
      <c r="L611" s="488">
        <f t="shared" si="211"/>
        <v>0</v>
      </c>
      <c r="M611" s="42">
        <f t="shared" si="211"/>
        <v>20</v>
      </c>
      <c r="N611" s="43">
        <f t="shared" si="211"/>
        <v>20</v>
      </c>
    </row>
    <row r="612" spans="1:15" ht="60" hidden="1">
      <c r="A612" s="110" t="s">
        <v>524</v>
      </c>
      <c r="B612" s="26" t="s">
        <v>425</v>
      </c>
      <c r="C612" s="26" t="s">
        <v>53</v>
      </c>
      <c r="D612" s="26" t="s">
        <v>26</v>
      </c>
      <c r="E612" s="26" t="s">
        <v>525</v>
      </c>
      <c r="F612" s="26"/>
      <c r="G612" s="147">
        <f t="shared" si="211"/>
        <v>0</v>
      </c>
      <c r="H612" s="147">
        <f t="shared" si="211"/>
        <v>666</v>
      </c>
      <c r="I612" s="147">
        <f t="shared" si="211"/>
        <v>0</v>
      </c>
      <c r="J612" s="627">
        <f>J613</f>
        <v>0</v>
      </c>
      <c r="K612" s="627">
        <f t="shared" si="211"/>
        <v>0</v>
      </c>
      <c r="L612" s="627">
        <f t="shared" si="211"/>
        <v>0</v>
      </c>
      <c r="M612" s="42">
        <f t="shared" si="211"/>
        <v>20</v>
      </c>
      <c r="N612" s="43">
        <f t="shared" si="211"/>
        <v>20</v>
      </c>
    </row>
    <row r="613" spans="1:15" ht="45" hidden="1">
      <c r="A613" s="116" t="s">
        <v>526</v>
      </c>
      <c r="B613" s="26" t="s">
        <v>425</v>
      </c>
      <c r="C613" s="26" t="s">
        <v>53</v>
      </c>
      <c r="D613" s="26" t="s">
        <v>26</v>
      </c>
      <c r="E613" s="26" t="s">
        <v>527</v>
      </c>
      <c r="F613" s="26"/>
      <c r="G613" s="147">
        <f t="shared" si="211"/>
        <v>0</v>
      </c>
      <c r="H613" s="147">
        <f t="shared" si="211"/>
        <v>666</v>
      </c>
      <c r="I613" s="147">
        <f t="shared" si="211"/>
        <v>0</v>
      </c>
      <c r="J613" s="627">
        <f>J614</f>
        <v>0</v>
      </c>
      <c r="K613" s="627">
        <f t="shared" si="211"/>
        <v>0</v>
      </c>
      <c r="L613" s="627">
        <f t="shared" si="211"/>
        <v>0</v>
      </c>
      <c r="M613" s="42">
        <f t="shared" si="211"/>
        <v>20</v>
      </c>
      <c r="N613" s="43">
        <f t="shared" si="211"/>
        <v>20</v>
      </c>
    </row>
    <row r="614" spans="1:15" hidden="1">
      <c r="A614" s="116" t="s">
        <v>304</v>
      </c>
      <c r="B614" s="26" t="s">
        <v>425</v>
      </c>
      <c r="C614" s="26" t="s">
        <v>53</v>
      </c>
      <c r="D614" s="26" t="s">
        <v>26</v>
      </c>
      <c r="E614" s="26" t="s">
        <v>527</v>
      </c>
      <c r="F614" s="26" t="s">
        <v>305</v>
      </c>
      <c r="G614" s="147"/>
      <c r="H614" s="147">
        <v>666</v>
      </c>
      <c r="I614" s="147"/>
      <c r="J614" s="627"/>
      <c r="K614" s="627"/>
      <c r="L614" s="627">
        <f>J614+K614</f>
        <v>0</v>
      </c>
      <c r="M614" s="42">
        <v>20</v>
      </c>
      <c r="N614" s="30">
        <f>L614+M614</f>
        <v>20</v>
      </c>
      <c r="O614" s="44"/>
    </row>
    <row r="615" spans="1:15" ht="29.25">
      <c r="A615" s="109" t="s">
        <v>528</v>
      </c>
      <c r="B615" s="25" t="s">
        <v>425</v>
      </c>
      <c r="C615" s="25" t="s">
        <v>53</v>
      </c>
      <c r="D615" s="25" t="s">
        <v>26</v>
      </c>
      <c r="E615" s="25"/>
      <c r="F615" s="25"/>
      <c r="G615" s="568">
        <f t="shared" ref="G615:L617" si="212">G616</f>
        <v>50</v>
      </c>
      <c r="H615" s="568">
        <f t="shared" si="212"/>
        <v>44</v>
      </c>
      <c r="I615" s="568">
        <f t="shared" si="212"/>
        <v>0</v>
      </c>
      <c r="J615" s="488">
        <f>J616</f>
        <v>129.73699999999999</v>
      </c>
      <c r="K615" s="488">
        <f t="shared" si="212"/>
        <v>47</v>
      </c>
      <c r="L615" s="488">
        <f t="shared" si="212"/>
        <v>176.73699999999999</v>
      </c>
      <c r="M615" s="42"/>
      <c r="N615" s="30"/>
      <c r="O615" s="44"/>
    </row>
    <row r="616" spans="1:15" ht="45">
      <c r="A616" s="110" t="s">
        <v>529</v>
      </c>
      <c r="B616" s="26" t="s">
        <v>425</v>
      </c>
      <c r="C616" s="26" t="s">
        <v>53</v>
      </c>
      <c r="D616" s="26" t="s">
        <v>26</v>
      </c>
      <c r="E616" s="26" t="s">
        <v>175</v>
      </c>
      <c r="F616" s="26"/>
      <c r="G616" s="147">
        <f t="shared" si="212"/>
        <v>50</v>
      </c>
      <c r="H616" s="147">
        <f t="shared" si="212"/>
        <v>44</v>
      </c>
      <c r="I616" s="147">
        <f t="shared" si="212"/>
        <v>0</v>
      </c>
      <c r="J616" s="627">
        <f t="shared" si="212"/>
        <v>129.73699999999999</v>
      </c>
      <c r="K616" s="627">
        <f t="shared" si="212"/>
        <v>47</v>
      </c>
      <c r="L616" s="627">
        <f t="shared" si="212"/>
        <v>176.73699999999999</v>
      </c>
      <c r="M616" s="42"/>
      <c r="N616" s="30"/>
      <c r="O616" s="44"/>
    </row>
    <row r="617" spans="1:15" ht="30">
      <c r="A617" s="110" t="s">
        <v>145</v>
      </c>
      <c r="B617" s="26" t="s">
        <v>425</v>
      </c>
      <c r="C617" s="26" t="s">
        <v>53</v>
      </c>
      <c r="D617" s="26" t="s">
        <v>26</v>
      </c>
      <c r="E617" s="26" t="s">
        <v>176</v>
      </c>
      <c r="F617" s="26"/>
      <c r="G617" s="147">
        <f t="shared" si="212"/>
        <v>50</v>
      </c>
      <c r="H617" s="147">
        <f t="shared" si="212"/>
        <v>44</v>
      </c>
      <c r="I617" s="147">
        <f t="shared" si="212"/>
        <v>0</v>
      </c>
      <c r="J617" s="627">
        <f t="shared" si="212"/>
        <v>129.73699999999999</v>
      </c>
      <c r="K617" s="627">
        <f t="shared" si="212"/>
        <v>47</v>
      </c>
      <c r="L617" s="627">
        <f t="shared" si="212"/>
        <v>176.73699999999999</v>
      </c>
      <c r="M617" s="42"/>
      <c r="N617" s="30"/>
      <c r="O617" s="44"/>
    </row>
    <row r="618" spans="1:15" ht="30">
      <c r="A618" s="110" t="s">
        <v>141</v>
      </c>
      <c r="B618" s="26" t="s">
        <v>425</v>
      </c>
      <c r="C618" s="26" t="s">
        <v>53</v>
      </c>
      <c r="D618" s="26" t="s">
        <v>26</v>
      </c>
      <c r="E618" s="26" t="s">
        <v>176</v>
      </c>
      <c r="F618" s="26" t="s">
        <v>142</v>
      </c>
      <c r="G618" s="147">
        <v>50</v>
      </c>
      <c r="H618" s="147">
        <v>44</v>
      </c>
      <c r="I618" s="147"/>
      <c r="J618" s="627">
        <v>129.73699999999999</v>
      </c>
      <c r="K618" s="627">
        <v>47</v>
      </c>
      <c r="L618" s="627">
        <f>J618+K618</f>
        <v>176.73699999999999</v>
      </c>
      <c r="M618" s="42"/>
      <c r="N618" s="30"/>
      <c r="O618" s="44"/>
    </row>
    <row r="619" spans="1:15" s="113" customFormat="1" ht="42.75" hidden="1">
      <c r="A619" s="109" t="s">
        <v>530</v>
      </c>
      <c r="B619" s="25" t="s">
        <v>425</v>
      </c>
      <c r="C619" s="25" t="s">
        <v>53</v>
      </c>
      <c r="D619" s="25" t="s">
        <v>30</v>
      </c>
      <c r="E619" s="25"/>
      <c r="F619" s="25"/>
      <c r="G619" s="568">
        <f t="shared" ref="G619:N621" si="213">G620</f>
        <v>50</v>
      </c>
      <c r="H619" s="568">
        <f t="shared" si="213"/>
        <v>44</v>
      </c>
      <c r="I619" s="568">
        <f t="shared" si="213"/>
        <v>0</v>
      </c>
      <c r="J619" s="488">
        <f t="shared" si="213"/>
        <v>0</v>
      </c>
      <c r="K619" s="488">
        <f t="shared" si="213"/>
        <v>0</v>
      </c>
      <c r="L619" s="488">
        <f t="shared" si="213"/>
        <v>0</v>
      </c>
      <c r="M619" s="570">
        <f t="shared" si="213"/>
        <v>-122</v>
      </c>
      <c r="N619" s="96">
        <f t="shared" si="213"/>
        <v>-122</v>
      </c>
    </row>
    <row r="620" spans="1:15" ht="45" hidden="1">
      <c r="A620" s="110" t="s">
        <v>529</v>
      </c>
      <c r="B620" s="26" t="s">
        <v>425</v>
      </c>
      <c r="C620" s="26" t="s">
        <v>53</v>
      </c>
      <c r="D620" s="26" t="s">
        <v>30</v>
      </c>
      <c r="E620" s="26" t="s">
        <v>175</v>
      </c>
      <c r="F620" s="26"/>
      <c r="G620" s="147">
        <f t="shared" si="213"/>
        <v>50</v>
      </c>
      <c r="H620" s="147">
        <f t="shared" si="213"/>
        <v>44</v>
      </c>
      <c r="I620" s="147">
        <f t="shared" si="213"/>
        <v>0</v>
      </c>
      <c r="J620" s="627">
        <f t="shared" si="213"/>
        <v>0</v>
      </c>
      <c r="K620" s="627">
        <f t="shared" si="213"/>
        <v>0</v>
      </c>
      <c r="L620" s="627">
        <f t="shared" si="213"/>
        <v>0</v>
      </c>
      <c r="M620" s="42">
        <f t="shared" si="213"/>
        <v>-122</v>
      </c>
      <c r="N620" s="43">
        <f t="shared" si="213"/>
        <v>-122</v>
      </c>
    </row>
    <row r="621" spans="1:15" ht="30" hidden="1">
      <c r="A621" s="110" t="s">
        <v>145</v>
      </c>
      <c r="B621" s="26" t="s">
        <v>425</v>
      </c>
      <c r="C621" s="26" t="s">
        <v>53</v>
      </c>
      <c r="D621" s="26" t="s">
        <v>30</v>
      </c>
      <c r="E621" s="26" t="s">
        <v>176</v>
      </c>
      <c r="F621" s="26"/>
      <c r="G621" s="147">
        <f t="shared" si="213"/>
        <v>50</v>
      </c>
      <c r="H621" s="147">
        <f t="shared" si="213"/>
        <v>44</v>
      </c>
      <c r="I621" s="147">
        <f t="shared" si="213"/>
        <v>0</v>
      </c>
      <c r="J621" s="627">
        <f t="shared" si="213"/>
        <v>0</v>
      </c>
      <c r="K621" s="627">
        <f t="shared" si="213"/>
        <v>0</v>
      </c>
      <c r="L621" s="627">
        <f t="shared" si="213"/>
        <v>0</v>
      </c>
      <c r="M621" s="42">
        <f t="shared" si="213"/>
        <v>-122</v>
      </c>
      <c r="N621" s="43">
        <f t="shared" si="213"/>
        <v>-122</v>
      </c>
    </row>
    <row r="622" spans="1:15" ht="30" hidden="1">
      <c r="A622" s="110" t="s">
        <v>141</v>
      </c>
      <c r="B622" s="26" t="s">
        <v>425</v>
      </c>
      <c r="C622" s="26" t="s">
        <v>53</v>
      </c>
      <c r="D622" s="26" t="s">
        <v>30</v>
      </c>
      <c r="E622" s="26" t="s">
        <v>176</v>
      </c>
      <c r="F622" s="26" t="s">
        <v>142</v>
      </c>
      <c r="G622" s="147">
        <v>50</v>
      </c>
      <c r="H622" s="147">
        <v>44</v>
      </c>
      <c r="I622" s="147"/>
      <c r="J622" s="627"/>
      <c r="K622" s="627"/>
      <c r="L622" s="627">
        <f>J622+K622</f>
        <v>0</v>
      </c>
      <c r="M622" s="42">
        <v>-122</v>
      </c>
      <c r="N622" s="30">
        <f>L622+M622</f>
        <v>-122</v>
      </c>
      <c r="O622" s="44"/>
    </row>
    <row r="623" spans="1:15" s="161" customFormat="1" ht="14.25">
      <c r="A623" s="176" t="s">
        <v>531</v>
      </c>
      <c r="B623" s="34" t="s">
        <v>425</v>
      </c>
      <c r="C623" s="34" t="s">
        <v>47</v>
      </c>
      <c r="D623" s="34"/>
      <c r="E623" s="34"/>
      <c r="F623" s="34"/>
      <c r="G623" s="585" t="e">
        <f t="shared" ref="G623:N623" si="214">G624+G631</f>
        <v>#REF!</v>
      </c>
      <c r="H623" s="585" t="e">
        <f t="shared" si="214"/>
        <v>#REF!</v>
      </c>
      <c r="I623" s="585" t="e">
        <f t="shared" si="214"/>
        <v>#REF!</v>
      </c>
      <c r="J623" s="379">
        <f t="shared" si="214"/>
        <v>58410</v>
      </c>
      <c r="K623" s="379">
        <f t="shared" si="214"/>
        <v>0</v>
      </c>
      <c r="L623" s="379">
        <f t="shared" si="214"/>
        <v>58410</v>
      </c>
      <c r="M623" s="40" t="e">
        <f t="shared" si="214"/>
        <v>#REF!</v>
      </c>
      <c r="N623" s="41" t="e">
        <f t="shared" si="214"/>
        <v>#REF!</v>
      </c>
    </row>
    <row r="624" spans="1:15" s="113" customFormat="1" ht="14.25" customHeight="1">
      <c r="A624" s="119" t="s">
        <v>79</v>
      </c>
      <c r="B624" s="25" t="s">
        <v>425</v>
      </c>
      <c r="C624" s="25" t="s">
        <v>47</v>
      </c>
      <c r="D624" s="25" t="s">
        <v>21</v>
      </c>
      <c r="E624" s="25"/>
      <c r="F624" s="25"/>
      <c r="G624" s="568" t="e">
        <f>G627</f>
        <v>#REF!</v>
      </c>
      <c r="H624" s="568" t="e">
        <f>H627</f>
        <v>#REF!</v>
      </c>
      <c r="I624" s="568" t="e">
        <f>I627</f>
        <v>#REF!</v>
      </c>
      <c r="J624" s="488">
        <f t="shared" ref="J624:K624" si="215">J627+J629+J625</f>
        <v>58410</v>
      </c>
      <c r="K624" s="488">
        <f t="shared" si="215"/>
        <v>0</v>
      </c>
      <c r="L624" s="488">
        <f>L627+L629+L625</f>
        <v>58410</v>
      </c>
      <c r="M624" s="570" t="e">
        <f>M627</f>
        <v>#REF!</v>
      </c>
      <c r="N624" s="96" t="e">
        <f>N627</f>
        <v>#REF!</v>
      </c>
    </row>
    <row r="625" spans="1:14" ht="66.75" customHeight="1">
      <c r="A625" s="116" t="s">
        <v>468</v>
      </c>
      <c r="B625" s="26" t="s">
        <v>425</v>
      </c>
      <c r="C625" s="26" t="s">
        <v>47</v>
      </c>
      <c r="D625" s="26" t="s">
        <v>21</v>
      </c>
      <c r="E625" s="26" t="s">
        <v>469</v>
      </c>
      <c r="F625" s="26"/>
      <c r="G625" s="147"/>
      <c r="H625" s="147"/>
      <c r="I625" s="147"/>
      <c r="J625" s="627">
        <f>J626</f>
        <v>10</v>
      </c>
      <c r="K625" s="627">
        <f>K626</f>
        <v>0</v>
      </c>
      <c r="L625" s="627">
        <f>L626</f>
        <v>10</v>
      </c>
      <c r="M625" s="42"/>
      <c r="N625" s="43"/>
    </row>
    <row r="626" spans="1:14" ht="14.25" customHeight="1">
      <c r="A626" s="116" t="s">
        <v>470</v>
      </c>
      <c r="B626" s="26" t="s">
        <v>425</v>
      </c>
      <c r="C626" s="26" t="s">
        <v>47</v>
      </c>
      <c r="D626" s="26" t="s">
        <v>21</v>
      </c>
      <c r="E626" s="26" t="s">
        <v>469</v>
      </c>
      <c r="F626" s="26" t="s">
        <v>471</v>
      </c>
      <c r="G626" s="147"/>
      <c r="H626" s="147"/>
      <c r="I626" s="147"/>
      <c r="J626" s="627">
        <v>10</v>
      </c>
      <c r="K626" s="627"/>
      <c r="L626" s="627">
        <f>J626+K626</f>
        <v>10</v>
      </c>
      <c r="M626" s="42"/>
      <c r="N626" s="43"/>
    </row>
    <row r="627" spans="1:14" ht="45" customHeight="1">
      <c r="A627" s="110" t="s">
        <v>486</v>
      </c>
      <c r="B627" s="26" t="s">
        <v>425</v>
      </c>
      <c r="C627" s="26" t="s">
        <v>47</v>
      </c>
      <c r="D627" s="26" t="s">
        <v>21</v>
      </c>
      <c r="E627" s="26" t="s">
        <v>1137</v>
      </c>
      <c r="F627" s="26"/>
      <c r="G627" s="147" t="e">
        <f>#REF!</f>
        <v>#REF!</v>
      </c>
      <c r="H627" s="147" t="e">
        <f>#REF!</f>
        <v>#REF!</v>
      </c>
      <c r="I627" s="147" t="e">
        <f>#REF!</f>
        <v>#REF!</v>
      </c>
      <c r="J627" s="627">
        <f>J628</f>
        <v>57900</v>
      </c>
      <c r="K627" s="627">
        <f>K628</f>
        <v>0</v>
      </c>
      <c r="L627" s="627">
        <f>L628</f>
        <v>57900</v>
      </c>
      <c r="M627" s="42" t="e">
        <f>#REF!</f>
        <v>#REF!</v>
      </c>
      <c r="N627" s="43" t="e">
        <f>#REF!</f>
        <v>#REF!</v>
      </c>
    </row>
    <row r="628" spans="1:14" ht="15" customHeight="1">
      <c r="A628" s="110" t="s">
        <v>470</v>
      </c>
      <c r="B628" s="26" t="s">
        <v>425</v>
      </c>
      <c r="C628" s="26" t="s">
        <v>47</v>
      </c>
      <c r="D628" s="26" t="s">
        <v>21</v>
      </c>
      <c r="E628" s="26" t="s">
        <v>1137</v>
      </c>
      <c r="F628" s="26" t="s">
        <v>471</v>
      </c>
      <c r="G628" s="147">
        <f>7525+549</f>
        <v>8074</v>
      </c>
      <c r="H628" s="589"/>
      <c r="I628" s="147"/>
      <c r="J628" s="627">
        <v>57900</v>
      </c>
      <c r="K628" s="627"/>
      <c r="L628" s="627">
        <f>J628+K628</f>
        <v>57900</v>
      </c>
      <c r="M628" s="42"/>
      <c r="N628" s="30">
        <f>L628+M628</f>
        <v>57900</v>
      </c>
    </row>
    <row r="629" spans="1:14" ht="51.75" customHeight="1">
      <c r="A629" s="110" t="s">
        <v>1152</v>
      </c>
      <c r="B629" s="26" t="s">
        <v>425</v>
      </c>
      <c r="C629" s="26" t="s">
        <v>47</v>
      </c>
      <c r="D629" s="26" t="s">
        <v>21</v>
      </c>
      <c r="E629" s="26" t="s">
        <v>1138</v>
      </c>
      <c r="F629" s="26"/>
      <c r="G629" s="147"/>
      <c r="H629" s="589"/>
      <c r="I629" s="147"/>
      <c r="J629" s="627">
        <f>J630</f>
        <v>500</v>
      </c>
      <c r="K629" s="627">
        <f>K630</f>
        <v>0</v>
      </c>
      <c r="L629" s="627">
        <f>L630</f>
        <v>500</v>
      </c>
      <c r="M629" s="42"/>
      <c r="N629" s="30"/>
    </row>
    <row r="630" spans="1:14" ht="15" customHeight="1">
      <c r="A630" s="110" t="s">
        <v>470</v>
      </c>
      <c r="B630" s="26" t="s">
        <v>425</v>
      </c>
      <c r="C630" s="26" t="s">
        <v>47</v>
      </c>
      <c r="D630" s="26" t="s">
        <v>21</v>
      </c>
      <c r="E630" s="26" t="s">
        <v>1138</v>
      </c>
      <c r="F630" s="26" t="s">
        <v>471</v>
      </c>
      <c r="G630" s="147"/>
      <c r="H630" s="589"/>
      <c r="I630" s="147"/>
      <c r="J630" s="627">
        <v>500</v>
      </c>
      <c r="K630" s="627"/>
      <c r="L630" s="627">
        <f>J630+K630</f>
        <v>500</v>
      </c>
      <c r="M630" s="42"/>
      <c r="N630" s="30"/>
    </row>
    <row r="631" spans="1:14" s="113" customFormat="1" ht="14.25" hidden="1">
      <c r="A631" s="109" t="s">
        <v>82</v>
      </c>
      <c r="B631" s="25" t="s">
        <v>425</v>
      </c>
      <c r="C631" s="25" t="s">
        <v>47</v>
      </c>
      <c r="D631" s="25" t="s">
        <v>53</v>
      </c>
      <c r="E631" s="25"/>
      <c r="F631" s="25"/>
      <c r="G631" s="568">
        <f t="shared" ref="G631:N633" si="216">G632</f>
        <v>0</v>
      </c>
      <c r="H631" s="568">
        <f t="shared" si="216"/>
        <v>628.79999999999995</v>
      </c>
      <c r="I631" s="568">
        <f t="shared" si="216"/>
        <v>0</v>
      </c>
      <c r="J631" s="488">
        <f t="shared" si="216"/>
        <v>0</v>
      </c>
      <c r="K631" s="488">
        <f t="shared" si="216"/>
        <v>0</v>
      </c>
      <c r="L631" s="488">
        <f t="shared" si="216"/>
        <v>0</v>
      </c>
      <c r="M631" s="570">
        <f t="shared" si="216"/>
        <v>0</v>
      </c>
      <c r="N631" s="96">
        <f t="shared" si="216"/>
        <v>0</v>
      </c>
    </row>
    <row r="632" spans="1:14" ht="30" hidden="1">
      <c r="A632" s="110" t="s">
        <v>532</v>
      </c>
      <c r="B632" s="26" t="s">
        <v>425</v>
      </c>
      <c r="C632" s="26" t="s">
        <v>47</v>
      </c>
      <c r="D632" s="26" t="s">
        <v>53</v>
      </c>
      <c r="E632" s="26" t="s">
        <v>533</v>
      </c>
      <c r="F632" s="26"/>
      <c r="G632" s="147">
        <f t="shared" si="216"/>
        <v>0</v>
      </c>
      <c r="H632" s="147">
        <f t="shared" si="216"/>
        <v>628.79999999999995</v>
      </c>
      <c r="I632" s="147">
        <f t="shared" si="216"/>
        <v>0</v>
      </c>
      <c r="J632" s="627">
        <f t="shared" si="216"/>
        <v>0</v>
      </c>
      <c r="K632" s="627">
        <f t="shared" si="216"/>
        <v>0</v>
      </c>
      <c r="L632" s="627">
        <f t="shared" si="216"/>
        <v>0</v>
      </c>
      <c r="M632" s="42">
        <f t="shared" si="216"/>
        <v>0</v>
      </c>
      <c r="N632" s="43">
        <f t="shared" si="216"/>
        <v>0</v>
      </c>
    </row>
    <row r="633" spans="1:14" ht="45" hidden="1">
      <c r="A633" s="110" t="s">
        <v>534</v>
      </c>
      <c r="B633" s="26" t="s">
        <v>425</v>
      </c>
      <c r="C633" s="26" t="s">
        <v>47</v>
      </c>
      <c r="D633" s="26" t="s">
        <v>53</v>
      </c>
      <c r="E633" s="26" t="s">
        <v>535</v>
      </c>
      <c r="F633" s="26"/>
      <c r="G633" s="147">
        <f t="shared" si="216"/>
        <v>0</v>
      </c>
      <c r="H633" s="147">
        <f t="shared" si="216"/>
        <v>628.79999999999995</v>
      </c>
      <c r="I633" s="147">
        <f t="shared" si="216"/>
        <v>0</v>
      </c>
      <c r="J633" s="627">
        <f t="shared" si="216"/>
        <v>0</v>
      </c>
      <c r="K633" s="627">
        <f t="shared" si="216"/>
        <v>0</v>
      </c>
      <c r="L633" s="627">
        <f t="shared" si="216"/>
        <v>0</v>
      </c>
      <c r="M633" s="42">
        <f t="shared" si="216"/>
        <v>0</v>
      </c>
      <c r="N633" s="43">
        <f t="shared" si="216"/>
        <v>0</v>
      </c>
    </row>
    <row r="634" spans="1:14" ht="30" hidden="1">
      <c r="A634" s="116" t="s">
        <v>135</v>
      </c>
      <c r="B634" s="26" t="s">
        <v>425</v>
      </c>
      <c r="C634" s="26" t="s">
        <v>47</v>
      </c>
      <c r="D634" s="26" t="s">
        <v>53</v>
      </c>
      <c r="E634" s="26" t="s">
        <v>535</v>
      </c>
      <c r="F634" s="26" t="s">
        <v>133</v>
      </c>
      <c r="G634" s="147"/>
      <c r="H634" s="589">
        <v>628.79999999999995</v>
      </c>
      <c r="I634" s="147"/>
      <c r="J634" s="627"/>
      <c r="K634" s="627"/>
      <c r="L634" s="627">
        <f>J634+K634</f>
        <v>0</v>
      </c>
      <c r="M634" s="42"/>
      <c r="N634" s="30">
        <f>L634+M634</f>
        <v>0</v>
      </c>
    </row>
    <row r="635" spans="1:14" s="161" customFormat="1" ht="14.25">
      <c r="A635" s="176" t="s">
        <v>86</v>
      </c>
      <c r="B635" s="34" t="s">
        <v>425</v>
      </c>
      <c r="C635" s="34" t="s">
        <v>85</v>
      </c>
      <c r="D635" s="34"/>
      <c r="E635" s="34"/>
      <c r="F635" s="34"/>
      <c r="G635" s="585">
        <f>G639</f>
        <v>-7703.9000000000005</v>
      </c>
      <c r="H635" s="585">
        <f>H639</f>
        <v>110</v>
      </c>
      <c r="I635" s="585">
        <f>I639</f>
        <v>0</v>
      </c>
      <c r="J635" s="379">
        <f>J639+J636</f>
        <v>4485.6419999999998</v>
      </c>
      <c r="K635" s="379">
        <f>K639+K636</f>
        <v>753.57299999999998</v>
      </c>
      <c r="L635" s="379">
        <f>L639+L636</f>
        <v>5239.2150000000001</v>
      </c>
      <c r="M635" s="571">
        <f>M639+M636</f>
        <v>90</v>
      </c>
      <c r="N635" s="379">
        <f>N639+N636</f>
        <v>90</v>
      </c>
    </row>
    <row r="636" spans="1:14" s="113" customFormat="1" ht="28.5">
      <c r="A636" s="109" t="s">
        <v>89</v>
      </c>
      <c r="B636" s="25" t="s">
        <v>425</v>
      </c>
      <c r="C636" s="25" t="s">
        <v>85</v>
      </c>
      <c r="D636" s="25" t="s">
        <v>22</v>
      </c>
      <c r="E636" s="25"/>
      <c r="F636" s="25"/>
      <c r="G636" s="568"/>
      <c r="H636" s="568"/>
      <c r="I636" s="568"/>
      <c r="J636" s="488">
        <f t="shared" ref="J636:L637" si="217">J637</f>
        <v>100</v>
      </c>
      <c r="K636" s="488">
        <f t="shared" si="217"/>
        <v>0</v>
      </c>
      <c r="L636" s="488">
        <f t="shared" si="217"/>
        <v>100</v>
      </c>
      <c r="M636" s="346"/>
      <c r="N636" s="346"/>
    </row>
    <row r="637" spans="1:14" ht="60">
      <c r="A637" s="116" t="s">
        <v>468</v>
      </c>
      <c r="B637" s="26" t="s">
        <v>425</v>
      </c>
      <c r="C637" s="26" t="s">
        <v>85</v>
      </c>
      <c r="D637" s="26" t="s">
        <v>22</v>
      </c>
      <c r="E637" s="26" t="s">
        <v>469</v>
      </c>
      <c r="F637" s="26"/>
      <c r="G637" s="147"/>
      <c r="H637" s="147"/>
      <c r="I637" s="147"/>
      <c r="J637" s="627">
        <f t="shared" si="217"/>
        <v>100</v>
      </c>
      <c r="K637" s="627">
        <f t="shared" si="217"/>
        <v>0</v>
      </c>
      <c r="L637" s="627">
        <f t="shared" si="217"/>
        <v>100</v>
      </c>
      <c r="M637" s="270"/>
      <c r="N637" s="270"/>
    </row>
    <row r="638" spans="1:14">
      <c r="A638" s="116" t="s">
        <v>470</v>
      </c>
      <c r="B638" s="26" t="s">
        <v>425</v>
      </c>
      <c r="C638" s="26" t="s">
        <v>85</v>
      </c>
      <c r="D638" s="26" t="s">
        <v>22</v>
      </c>
      <c r="E638" s="26" t="s">
        <v>469</v>
      </c>
      <c r="F638" s="26" t="s">
        <v>471</v>
      </c>
      <c r="G638" s="147"/>
      <c r="H638" s="147"/>
      <c r="I638" s="147"/>
      <c r="J638" s="627">
        <v>100</v>
      </c>
      <c r="K638" s="627"/>
      <c r="L638" s="627">
        <f>J638+K638</f>
        <v>100</v>
      </c>
      <c r="M638" s="270"/>
      <c r="N638" s="270"/>
    </row>
    <row r="639" spans="1:14" s="113" customFormat="1" ht="30">
      <c r="A639" s="110" t="s">
        <v>92</v>
      </c>
      <c r="B639" s="25" t="s">
        <v>425</v>
      </c>
      <c r="C639" s="25" t="s">
        <v>85</v>
      </c>
      <c r="D639" s="25" t="s">
        <v>24</v>
      </c>
      <c r="E639" s="25"/>
      <c r="F639" s="25"/>
      <c r="G639" s="568">
        <f>G640+G661+G646+G648</f>
        <v>-7703.9000000000005</v>
      </c>
      <c r="H639" s="207">
        <f>H640+H661+H646+H648+H651</f>
        <v>110</v>
      </c>
      <c r="I639" s="207">
        <f>I640+I661+I646+I648+I651</f>
        <v>0</v>
      </c>
      <c r="J639" s="488">
        <f>J640+J661+J646+J648+J651+J653+J657+J655+J659</f>
        <v>4385.6419999999998</v>
      </c>
      <c r="K639" s="488">
        <f>K640+K661+K646+K648+K651+K653+K657+K655+K659</f>
        <v>753.57299999999998</v>
      </c>
      <c r="L639" s="488">
        <f>L640+L661+L646+L648+L651+L653+L657+L655+L659</f>
        <v>5139.2150000000001</v>
      </c>
      <c r="M639" s="465">
        <f>M640+M661+M646+M648+M651+M653+M657</f>
        <v>90</v>
      </c>
      <c r="N639" s="380">
        <f>N640+N661+N646+N648+N651+N653+N657</f>
        <v>90</v>
      </c>
    </row>
    <row r="640" spans="1:14" ht="15.75" hidden="1" customHeight="1">
      <c r="A640" s="180" t="s">
        <v>536</v>
      </c>
      <c r="B640" s="26" t="s">
        <v>425</v>
      </c>
      <c r="C640" s="26" t="s">
        <v>85</v>
      </c>
      <c r="D640" s="26" t="s">
        <v>24</v>
      </c>
      <c r="E640" s="26" t="s">
        <v>537</v>
      </c>
      <c r="F640" s="26"/>
      <c r="G640" s="147">
        <f>G641</f>
        <v>-8006.3</v>
      </c>
      <c r="H640" s="589">
        <f t="shared" ref="H640:N640" si="218">H641+H644</f>
        <v>0</v>
      </c>
      <c r="I640" s="589">
        <f t="shared" si="218"/>
        <v>0</v>
      </c>
      <c r="J640" s="627">
        <f t="shared" si="218"/>
        <v>0</v>
      </c>
      <c r="K640" s="627">
        <f t="shared" si="218"/>
        <v>0</v>
      </c>
      <c r="L640" s="627">
        <f t="shared" si="218"/>
        <v>0</v>
      </c>
      <c r="M640" s="29">
        <f t="shared" si="218"/>
        <v>0</v>
      </c>
      <c r="N640" s="30">
        <f t="shared" si="218"/>
        <v>0</v>
      </c>
    </row>
    <row r="641" spans="1:14" ht="45.75" hidden="1" customHeight="1">
      <c r="A641" s="116" t="s">
        <v>538</v>
      </c>
      <c r="B641" s="26" t="s">
        <v>425</v>
      </c>
      <c r="C641" s="26" t="s">
        <v>85</v>
      </c>
      <c r="D641" s="26" t="s">
        <v>24</v>
      </c>
      <c r="E641" s="26" t="s">
        <v>483</v>
      </c>
      <c r="F641" s="26"/>
      <c r="G641" s="147">
        <f t="shared" ref="G641:M641" si="219">G642+G643</f>
        <v>-8006.3</v>
      </c>
      <c r="H641" s="147">
        <f t="shared" si="219"/>
        <v>0</v>
      </c>
      <c r="I641" s="147">
        <f t="shared" si="219"/>
        <v>0</v>
      </c>
      <c r="J641" s="627">
        <f t="shared" si="219"/>
        <v>0</v>
      </c>
      <c r="K641" s="627">
        <f t="shared" si="219"/>
        <v>0</v>
      </c>
      <c r="L641" s="627">
        <f t="shared" si="219"/>
        <v>0</v>
      </c>
      <c r="M641" s="42">
        <f t="shared" si="219"/>
        <v>0</v>
      </c>
      <c r="N641" s="43">
        <f>N642+N643</f>
        <v>0</v>
      </c>
    </row>
    <row r="642" spans="1:14" ht="60.75" hidden="1" customHeight="1">
      <c r="A642" s="116" t="s">
        <v>539</v>
      </c>
      <c r="B642" s="26" t="s">
        <v>425</v>
      </c>
      <c r="C642" s="26" t="s">
        <v>85</v>
      </c>
      <c r="D642" s="26" t="s">
        <v>24</v>
      </c>
      <c r="E642" s="26" t="s">
        <v>483</v>
      </c>
      <c r="F642" s="26" t="s">
        <v>540</v>
      </c>
      <c r="G642" s="147">
        <f>218.7-7525</f>
        <v>-7306.3</v>
      </c>
      <c r="H642" s="589"/>
      <c r="I642" s="147"/>
      <c r="J642" s="627">
        <f>H642+I642</f>
        <v>0</v>
      </c>
      <c r="K642" s="627"/>
      <c r="L642" s="627">
        <f>J642+K642</f>
        <v>0</v>
      </c>
      <c r="M642" s="42"/>
      <c r="N642" s="30">
        <f>L642+M642</f>
        <v>0</v>
      </c>
    </row>
    <row r="643" spans="1:14" ht="29.25" hidden="1" customHeight="1">
      <c r="A643" s="116" t="s">
        <v>135</v>
      </c>
      <c r="B643" s="26" t="s">
        <v>425</v>
      </c>
      <c r="C643" s="26" t="s">
        <v>85</v>
      </c>
      <c r="D643" s="26" t="s">
        <v>24</v>
      </c>
      <c r="E643" s="26" t="s">
        <v>483</v>
      </c>
      <c r="F643" s="26" t="s">
        <v>133</v>
      </c>
      <c r="G643" s="147">
        <v>-700</v>
      </c>
      <c r="H643" s="589"/>
      <c r="I643" s="147"/>
      <c r="J643" s="627">
        <f>H643+I643</f>
        <v>0</v>
      </c>
      <c r="K643" s="627"/>
      <c r="L643" s="627">
        <f>J643+K643</f>
        <v>0</v>
      </c>
      <c r="M643" s="42"/>
      <c r="N643" s="30">
        <f>L643+M643</f>
        <v>0</v>
      </c>
    </row>
    <row r="644" spans="1:14" ht="35.25" hidden="1" customHeight="1">
      <c r="A644" s="116" t="s">
        <v>541</v>
      </c>
      <c r="B644" s="26" t="s">
        <v>425</v>
      </c>
      <c r="C644" s="26" t="s">
        <v>85</v>
      </c>
      <c r="D644" s="26" t="s">
        <v>24</v>
      </c>
      <c r="E644" s="26" t="s">
        <v>542</v>
      </c>
      <c r="F644" s="26"/>
      <c r="G644" s="147"/>
      <c r="H644" s="589">
        <f t="shared" ref="H644:N644" si="220">H645</f>
        <v>0</v>
      </c>
      <c r="I644" s="589">
        <f t="shared" si="220"/>
        <v>0</v>
      </c>
      <c r="J644" s="627">
        <f t="shared" si="220"/>
        <v>0</v>
      </c>
      <c r="K644" s="627">
        <f t="shared" si="220"/>
        <v>0</v>
      </c>
      <c r="L644" s="627">
        <f t="shared" si="220"/>
        <v>0</v>
      </c>
      <c r="M644" s="29">
        <f t="shared" si="220"/>
        <v>0</v>
      </c>
      <c r="N644" s="30">
        <f t="shared" si="220"/>
        <v>0</v>
      </c>
    </row>
    <row r="645" spans="1:14" ht="30" hidden="1" customHeight="1">
      <c r="A645" s="116" t="s">
        <v>135</v>
      </c>
      <c r="B645" s="26" t="s">
        <v>425</v>
      </c>
      <c r="C645" s="26" t="s">
        <v>85</v>
      </c>
      <c r="D645" s="26" t="s">
        <v>24</v>
      </c>
      <c r="E645" s="26" t="s">
        <v>542</v>
      </c>
      <c r="F645" s="26" t="s">
        <v>133</v>
      </c>
      <c r="G645" s="147"/>
      <c r="H645" s="589"/>
      <c r="I645" s="147"/>
      <c r="J645" s="627">
        <f>H645+I645</f>
        <v>0</v>
      </c>
      <c r="K645" s="627"/>
      <c r="L645" s="627">
        <f>J645+K645</f>
        <v>0</v>
      </c>
      <c r="M645" s="42"/>
      <c r="N645" s="30">
        <f>L645+M645</f>
        <v>0</v>
      </c>
    </row>
    <row r="646" spans="1:14" ht="30.75" hidden="1" customHeight="1">
      <c r="A646" s="31" t="s">
        <v>543</v>
      </c>
      <c r="B646" s="26" t="s">
        <v>425</v>
      </c>
      <c r="C646" s="26" t="s">
        <v>85</v>
      </c>
      <c r="D646" s="26" t="s">
        <v>24</v>
      </c>
      <c r="E646" s="26" t="s">
        <v>544</v>
      </c>
      <c r="F646" s="26"/>
      <c r="G646" s="147">
        <f>G647</f>
        <v>302.39999999999998</v>
      </c>
      <c r="H646" s="589">
        <f>H647</f>
        <v>0</v>
      </c>
      <c r="I646" s="147">
        <f>I647</f>
        <v>0</v>
      </c>
      <c r="J646" s="627">
        <f>H646+I646</f>
        <v>0</v>
      </c>
      <c r="K646" s="627">
        <f>K647</f>
        <v>0</v>
      </c>
      <c r="L646" s="627">
        <f>J646+K646</f>
        <v>0</v>
      </c>
      <c r="M646" s="42">
        <f>M647</f>
        <v>0</v>
      </c>
      <c r="N646" s="30">
        <f>L646+M646</f>
        <v>0</v>
      </c>
    </row>
    <row r="647" spans="1:14" ht="15.75" hidden="1" customHeight="1">
      <c r="A647" s="110" t="s">
        <v>243</v>
      </c>
      <c r="B647" s="26" t="s">
        <v>425</v>
      </c>
      <c r="C647" s="26" t="s">
        <v>85</v>
      </c>
      <c r="D647" s="26" t="s">
        <v>24</v>
      </c>
      <c r="E647" s="26" t="s">
        <v>544</v>
      </c>
      <c r="F647" s="26" t="s">
        <v>244</v>
      </c>
      <c r="G647" s="147">
        <v>302.39999999999998</v>
      </c>
      <c r="H647" s="589"/>
      <c r="I647" s="147"/>
      <c r="J647" s="627">
        <f>H647+I647</f>
        <v>0</v>
      </c>
      <c r="K647" s="627"/>
      <c r="L647" s="627">
        <f>J647+K647</f>
        <v>0</v>
      </c>
      <c r="M647" s="42"/>
      <c r="N647" s="30">
        <f>L647+M647</f>
        <v>0</v>
      </c>
    </row>
    <row r="648" spans="1:14" ht="32.25" hidden="1" customHeight="1">
      <c r="A648" s="110" t="s">
        <v>412</v>
      </c>
      <c r="B648" s="26" t="s">
        <v>425</v>
      </c>
      <c r="C648" s="26" t="s">
        <v>85</v>
      </c>
      <c r="D648" s="26" t="s">
        <v>24</v>
      </c>
      <c r="E648" s="26" t="s">
        <v>413</v>
      </c>
      <c r="F648" s="26"/>
      <c r="G648" s="147">
        <f t="shared" ref="G648:L649" si="221">G649</f>
        <v>0</v>
      </c>
      <c r="H648" s="147">
        <f t="shared" si="221"/>
        <v>110</v>
      </c>
      <c r="I648" s="147">
        <f t="shared" si="221"/>
        <v>0</v>
      </c>
      <c r="J648" s="627">
        <f t="shared" si="221"/>
        <v>0</v>
      </c>
      <c r="K648" s="627">
        <f t="shared" si="221"/>
        <v>0</v>
      </c>
      <c r="L648" s="627">
        <f t="shared" si="221"/>
        <v>0</v>
      </c>
      <c r="M648" s="42">
        <f>M649</f>
        <v>0</v>
      </c>
      <c r="N648" s="43">
        <f>N649</f>
        <v>0</v>
      </c>
    </row>
    <row r="649" spans="1:14" ht="57" hidden="1" customHeight="1">
      <c r="A649" s="110" t="s">
        <v>545</v>
      </c>
      <c r="B649" s="26" t="s">
        <v>425</v>
      </c>
      <c r="C649" s="26" t="s">
        <v>85</v>
      </c>
      <c r="D649" s="26" t="s">
        <v>24</v>
      </c>
      <c r="E649" s="26" t="s">
        <v>546</v>
      </c>
      <c r="F649" s="26"/>
      <c r="G649" s="147">
        <f t="shared" si="221"/>
        <v>0</v>
      </c>
      <c r="H649" s="147">
        <f t="shared" si="221"/>
        <v>110</v>
      </c>
      <c r="I649" s="147">
        <f t="shared" si="221"/>
        <v>0</v>
      </c>
      <c r="J649" s="627">
        <f t="shared" si="221"/>
        <v>0</v>
      </c>
      <c r="K649" s="627">
        <f t="shared" si="221"/>
        <v>0</v>
      </c>
      <c r="L649" s="627">
        <f t="shared" si="221"/>
        <v>0</v>
      </c>
      <c r="M649" s="42">
        <f>M650</f>
        <v>0</v>
      </c>
      <c r="N649" s="43">
        <f>N650</f>
        <v>0</v>
      </c>
    </row>
    <row r="650" spans="1:14" ht="30.75" hidden="1" customHeight="1" thickBot="1">
      <c r="A650" s="143" t="s">
        <v>135</v>
      </c>
      <c r="B650" s="47" t="s">
        <v>425</v>
      </c>
      <c r="C650" s="47" t="s">
        <v>85</v>
      </c>
      <c r="D650" s="47" t="s">
        <v>24</v>
      </c>
      <c r="E650" s="47" t="s">
        <v>546</v>
      </c>
      <c r="F650" s="47" t="s">
        <v>133</v>
      </c>
      <c r="G650" s="590"/>
      <c r="H650" s="591">
        <v>110</v>
      </c>
      <c r="I650" s="590"/>
      <c r="J650" s="628"/>
      <c r="K650" s="628"/>
      <c r="L650" s="628">
        <f>J650+K650</f>
        <v>0</v>
      </c>
      <c r="M650" s="42"/>
      <c r="N650" s="30">
        <f>L650+M650</f>
        <v>0</v>
      </c>
    </row>
    <row r="651" spans="1:14" ht="48" hidden="1" customHeight="1">
      <c r="A651" s="116" t="s">
        <v>547</v>
      </c>
      <c r="B651" s="26" t="s">
        <v>425</v>
      </c>
      <c r="C651" s="26" t="s">
        <v>85</v>
      </c>
      <c r="D651" s="26" t="s">
        <v>24</v>
      </c>
      <c r="E651" s="26" t="s">
        <v>548</v>
      </c>
      <c r="F651" s="26"/>
      <c r="G651" s="147"/>
      <c r="H651" s="589">
        <f t="shared" ref="H651:N651" si="222">H652</f>
        <v>0</v>
      </c>
      <c r="I651" s="589">
        <f t="shared" si="222"/>
        <v>0</v>
      </c>
      <c r="J651" s="627">
        <f t="shared" si="222"/>
        <v>0</v>
      </c>
      <c r="K651" s="627">
        <f t="shared" si="222"/>
        <v>0</v>
      </c>
      <c r="L651" s="627">
        <f t="shared" si="222"/>
        <v>0</v>
      </c>
      <c r="M651" s="29">
        <f t="shared" si="222"/>
        <v>0</v>
      </c>
      <c r="N651" s="30">
        <f t="shared" si="222"/>
        <v>0</v>
      </c>
    </row>
    <row r="652" spans="1:14" ht="30.75" hidden="1" customHeight="1">
      <c r="A652" s="116" t="s">
        <v>135</v>
      </c>
      <c r="B652" s="26" t="s">
        <v>425</v>
      </c>
      <c r="C652" s="26" t="s">
        <v>85</v>
      </c>
      <c r="D652" s="26" t="s">
        <v>24</v>
      </c>
      <c r="E652" s="26" t="s">
        <v>548</v>
      </c>
      <c r="F652" s="26" t="s">
        <v>133</v>
      </c>
      <c r="G652" s="147"/>
      <c r="H652" s="589"/>
      <c r="I652" s="147"/>
      <c r="J652" s="627">
        <f>H652+I652</f>
        <v>0</v>
      </c>
      <c r="K652" s="627"/>
      <c r="L652" s="627">
        <f>J652+K652</f>
        <v>0</v>
      </c>
      <c r="M652" s="42"/>
      <c r="N652" s="30">
        <f>L652+M652</f>
        <v>0</v>
      </c>
    </row>
    <row r="653" spans="1:14" ht="30.75" customHeight="1">
      <c r="A653" s="116" t="s">
        <v>1153</v>
      </c>
      <c r="B653" s="26" t="s">
        <v>425</v>
      </c>
      <c r="C653" s="26" t="s">
        <v>85</v>
      </c>
      <c r="D653" s="26" t="s">
        <v>24</v>
      </c>
      <c r="E653" s="26" t="s">
        <v>483</v>
      </c>
      <c r="F653" s="26"/>
      <c r="G653" s="147"/>
      <c r="H653" s="589"/>
      <c r="I653" s="147"/>
      <c r="J653" s="627">
        <f>J654</f>
        <v>2717.5880000000002</v>
      </c>
      <c r="K653" s="627">
        <f>K654</f>
        <v>0</v>
      </c>
      <c r="L653" s="627">
        <f>L654</f>
        <v>2717.5880000000002</v>
      </c>
      <c r="M653" s="42"/>
      <c r="N653" s="30"/>
    </row>
    <row r="654" spans="1:14" ht="43.5" customHeight="1">
      <c r="A654" s="116" t="s">
        <v>1155</v>
      </c>
      <c r="B654" s="26" t="s">
        <v>425</v>
      </c>
      <c r="C654" s="26" t="s">
        <v>85</v>
      </c>
      <c r="D654" s="26" t="s">
        <v>24</v>
      </c>
      <c r="E654" s="26" t="s">
        <v>483</v>
      </c>
      <c r="F654" s="26" t="s">
        <v>1139</v>
      </c>
      <c r="G654" s="147"/>
      <c r="H654" s="589"/>
      <c r="I654" s="147"/>
      <c r="J654" s="627">
        <v>2717.5880000000002</v>
      </c>
      <c r="K654" s="627"/>
      <c r="L654" s="627">
        <f>J654+K654</f>
        <v>2717.5880000000002</v>
      </c>
      <c r="M654" s="42"/>
      <c r="N654" s="30"/>
    </row>
    <row r="655" spans="1:14" ht="45">
      <c r="A655" s="116" t="s">
        <v>1203</v>
      </c>
      <c r="B655" s="26" t="s">
        <v>425</v>
      </c>
      <c r="C655" s="26" t="s">
        <v>85</v>
      </c>
      <c r="D655" s="26" t="s">
        <v>24</v>
      </c>
      <c r="E655" s="26" t="s">
        <v>1202</v>
      </c>
      <c r="F655" s="26"/>
      <c r="G655" s="147"/>
      <c r="H655" s="589"/>
      <c r="I655" s="147"/>
      <c r="J655" s="627">
        <f>J656</f>
        <v>0</v>
      </c>
      <c r="K655" s="627">
        <f t="shared" ref="K655:L655" si="223">K656</f>
        <v>472.46899999999999</v>
      </c>
      <c r="L655" s="627">
        <f t="shared" si="223"/>
        <v>472.46899999999999</v>
      </c>
      <c r="M655" s="42"/>
      <c r="N655" s="30"/>
    </row>
    <row r="656" spans="1:14">
      <c r="A656" s="110" t="s">
        <v>243</v>
      </c>
      <c r="B656" s="26" t="s">
        <v>425</v>
      </c>
      <c r="C656" s="26" t="s">
        <v>85</v>
      </c>
      <c r="D656" s="26" t="s">
        <v>24</v>
      </c>
      <c r="E656" s="26" t="s">
        <v>1202</v>
      </c>
      <c r="F656" s="26" t="s">
        <v>244</v>
      </c>
      <c r="G656" s="147"/>
      <c r="H656" s="589"/>
      <c r="I656" s="147"/>
      <c r="J656" s="627"/>
      <c r="K656" s="627">
        <v>472.46899999999999</v>
      </c>
      <c r="L656" s="627">
        <f>J656+K656</f>
        <v>472.46899999999999</v>
      </c>
      <c r="M656" s="42"/>
      <c r="N656" s="30"/>
    </row>
    <row r="657" spans="1:15" ht="54" customHeight="1">
      <c r="A657" s="116" t="s">
        <v>1154</v>
      </c>
      <c r="B657" s="26" t="s">
        <v>425</v>
      </c>
      <c r="C657" s="26" t="s">
        <v>85</v>
      </c>
      <c r="D657" s="26" t="s">
        <v>24</v>
      </c>
      <c r="E657" s="26" t="s">
        <v>495</v>
      </c>
      <c r="F657" s="26"/>
      <c r="G657" s="147"/>
      <c r="H657" s="589"/>
      <c r="I657" s="147"/>
      <c r="J657" s="627">
        <f>J658</f>
        <v>884.37400000000002</v>
      </c>
      <c r="K657" s="627">
        <f>K658</f>
        <v>0</v>
      </c>
      <c r="L657" s="627">
        <f>L658</f>
        <v>884.37400000000002</v>
      </c>
      <c r="M657" s="42"/>
      <c r="N657" s="30"/>
    </row>
    <row r="658" spans="1:15" ht="60" customHeight="1">
      <c r="A658" s="116" t="s">
        <v>1155</v>
      </c>
      <c r="B658" s="26" t="s">
        <v>425</v>
      </c>
      <c r="C658" s="26" t="s">
        <v>85</v>
      </c>
      <c r="D658" s="26" t="s">
        <v>24</v>
      </c>
      <c r="E658" s="26" t="s">
        <v>495</v>
      </c>
      <c r="F658" s="26" t="s">
        <v>1139</v>
      </c>
      <c r="G658" s="147"/>
      <c r="H658" s="589"/>
      <c r="I658" s="147"/>
      <c r="J658" s="627">
        <v>884.37400000000002</v>
      </c>
      <c r="K658" s="627"/>
      <c r="L658" s="627">
        <f>J658+K658</f>
        <v>884.37400000000002</v>
      </c>
      <c r="M658" s="42"/>
      <c r="N658" s="30"/>
    </row>
    <row r="659" spans="1:15" ht="45">
      <c r="A659" s="116" t="s">
        <v>1204</v>
      </c>
      <c r="B659" s="26" t="s">
        <v>425</v>
      </c>
      <c r="C659" s="26" t="s">
        <v>85</v>
      </c>
      <c r="D659" s="26" t="s">
        <v>24</v>
      </c>
      <c r="E659" s="26" t="s">
        <v>548</v>
      </c>
      <c r="F659" s="26"/>
      <c r="G659" s="147"/>
      <c r="H659" s="589"/>
      <c r="I659" s="147"/>
      <c r="J659" s="627">
        <f>J660</f>
        <v>0</v>
      </c>
      <c r="K659" s="627">
        <f t="shared" ref="K659:L659" si="224">K660</f>
        <v>398.46100000000001</v>
      </c>
      <c r="L659" s="627">
        <f t="shared" si="224"/>
        <v>398.46100000000001</v>
      </c>
      <c r="M659" s="42"/>
      <c r="N659" s="30"/>
    </row>
    <row r="660" spans="1:15">
      <c r="A660" s="110" t="s">
        <v>243</v>
      </c>
      <c r="B660" s="26" t="s">
        <v>425</v>
      </c>
      <c r="C660" s="26" t="s">
        <v>85</v>
      </c>
      <c r="D660" s="26" t="s">
        <v>24</v>
      </c>
      <c r="E660" s="26" t="s">
        <v>548</v>
      </c>
      <c r="F660" s="26" t="s">
        <v>244</v>
      </c>
      <c r="G660" s="147"/>
      <c r="H660" s="589"/>
      <c r="I660" s="147"/>
      <c r="J660" s="627"/>
      <c r="K660" s="627">
        <v>398.46100000000001</v>
      </c>
      <c r="L660" s="627">
        <f>J660+K660</f>
        <v>398.46100000000001</v>
      </c>
      <c r="M660" s="42"/>
      <c r="N660" s="30"/>
    </row>
    <row r="661" spans="1:15" ht="30.75" customHeight="1">
      <c r="A661" s="110" t="s">
        <v>412</v>
      </c>
      <c r="B661" s="26" t="s">
        <v>425</v>
      </c>
      <c r="C661" s="26" t="s">
        <v>85</v>
      </c>
      <c r="D661" s="26" t="s">
        <v>24</v>
      </c>
      <c r="E661" s="26" t="s">
        <v>413</v>
      </c>
      <c r="F661" s="26"/>
      <c r="G661" s="27">
        <f>G662</f>
        <v>0</v>
      </c>
      <c r="H661" s="27">
        <f>H662</f>
        <v>0</v>
      </c>
      <c r="I661" s="27">
        <f>I662</f>
        <v>0</v>
      </c>
      <c r="J661" s="627">
        <f>J662+J666</f>
        <v>783.68000000000006</v>
      </c>
      <c r="K661" s="627">
        <f>K662+K666</f>
        <v>-117.357</v>
      </c>
      <c r="L661" s="627">
        <f>L662+L666</f>
        <v>666.32299999999998</v>
      </c>
      <c r="M661" s="42">
        <f>M664</f>
        <v>90</v>
      </c>
      <c r="N661" s="43">
        <f>N664</f>
        <v>90</v>
      </c>
    </row>
    <row r="662" spans="1:15" ht="45">
      <c r="A662" s="110" t="s">
        <v>554</v>
      </c>
      <c r="B662" s="26" t="s">
        <v>425</v>
      </c>
      <c r="C662" s="26" t="s">
        <v>85</v>
      </c>
      <c r="D662" s="26" t="s">
        <v>24</v>
      </c>
      <c r="E662" s="26" t="s">
        <v>546</v>
      </c>
      <c r="F662" s="26"/>
      <c r="G662" s="147"/>
      <c r="H662" s="147"/>
      <c r="I662" s="147"/>
      <c r="J662" s="627">
        <f>J663</f>
        <v>320</v>
      </c>
      <c r="K662" s="627">
        <f>K663</f>
        <v>-117.357</v>
      </c>
      <c r="L662" s="627">
        <f>J662+K662</f>
        <v>202.643</v>
      </c>
      <c r="M662" s="42"/>
      <c r="N662" s="43"/>
    </row>
    <row r="663" spans="1:15" ht="30">
      <c r="A663" s="110" t="s">
        <v>135</v>
      </c>
      <c r="B663" s="26" t="s">
        <v>425</v>
      </c>
      <c r="C663" s="26" t="s">
        <v>85</v>
      </c>
      <c r="D663" s="26" t="s">
        <v>24</v>
      </c>
      <c r="E663" s="26" t="s">
        <v>546</v>
      </c>
      <c r="F663" s="26" t="s">
        <v>133</v>
      </c>
      <c r="G663" s="147"/>
      <c r="H663" s="147"/>
      <c r="I663" s="147"/>
      <c r="J663" s="627">
        <v>320</v>
      </c>
      <c r="K663" s="627">
        <v>-117.357</v>
      </c>
      <c r="L663" s="627">
        <f>J663+K663</f>
        <v>202.643</v>
      </c>
      <c r="M663" s="42"/>
      <c r="N663" s="43"/>
    </row>
    <row r="664" spans="1:15" ht="88.5" hidden="1" customHeight="1">
      <c r="A664" s="110" t="s">
        <v>549</v>
      </c>
      <c r="B664" s="26" t="s">
        <v>425</v>
      </c>
      <c r="C664" s="26" t="s">
        <v>85</v>
      </c>
      <c r="D664" s="26" t="s">
        <v>24</v>
      </c>
      <c r="E664" s="26" t="s">
        <v>550</v>
      </c>
      <c r="F664" s="26"/>
      <c r="G664" s="147">
        <f t="shared" ref="G664:N664" si="225">G665</f>
        <v>0</v>
      </c>
      <c r="H664" s="147">
        <f t="shared" si="225"/>
        <v>110</v>
      </c>
      <c r="I664" s="147">
        <f t="shared" si="225"/>
        <v>0</v>
      </c>
      <c r="J664" s="627">
        <f t="shared" si="225"/>
        <v>0</v>
      </c>
      <c r="K664" s="627">
        <f t="shared" si="225"/>
        <v>0</v>
      </c>
      <c r="L664" s="627">
        <f t="shared" si="225"/>
        <v>0</v>
      </c>
      <c r="M664" s="42">
        <f t="shared" si="225"/>
        <v>90</v>
      </c>
      <c r="N664" s="43">
        <f t="shared" si="225"/>
        <v>90</v>
      </c>
    </row>
    <row r="665" spans="1:15" ht="17.25" hidden="1" customHeight="1" thickBot="1">
      <c r="A665" s="110" t="s">
        <v>243</v>
      </c>
      <c r="B665" s="26" t="s">
        <v>425</v>
      </c>
      <c r="C665" s="26" t="s">
        <v>85</v>
      </c>
      <c r="D665" s="26" t="s">
        <v>24</v>
      </c>
      <c r="E665" s="26" t="s">
        <v>550</v>
      </c>
      <c r="F665" s="26" t="s">
        <v>244</v>
      </c>
      <c r="G665" s="147"/>
      <c r="H665" s="589">
        <v>110</v>
      </c>
      <c r="I665" s="147"/>
      <c r="J665" s="628"/>
      <c r="K665" s="627"/>
      <c r="L665" s="627">
        <f>J665+K665</f>
        <v>0</v>
      </c>
      <c r="M665" s="188">
        <v>90</v>
      </c>
      <c r="N665" s="103">
        <f>L665+M665</f>
        <v>90</v>
      </c>
      <c r="O665" s="32"/>
    </row>
    <row r="666" spans="1:15" ht="29.25" customHeight="1" thickBot="1">
      <c r="A666" s="110" t="s">
        <v>406</v>
      </c>
      <c r="B666" s="26" t="s">
        <v>425</v>
      </c>
      <c r="C666" s="26" t="s">
        <v>85</v>
      </c>
      <c r="D666" s="26" t="s">
        <v>24</v>
      </c>
      <c r="E666" s="26" t="s">
        <v>1034</v>
      </c>
      <c r="F666" s="26"/>
      <c r="G666" s="147"/>
      <c r="H666" s="589"/>
      <c r="I666" s="147"/>
      <c r="J666" s="627">
        <f>J667</f>
        <v>463.68</v>
      </c>
      <c r="K666" s="627">
        <f>K667</f>
        <v>0</v>
      </c>
      <c r="L666" s="627">
        <f>L667</f>
        <v>463.68</v>
      </c>
      <c r="M666" s="189"/>
      <c r="N666" s="190"/>
      <c r="O666" s="32"/>
    </row>
    <row r="667" spans="1:15" ht="17.25" customHeight="1" thickBot="1">
      <c r="A667" s="110" t="s">
        <v>243</v>
      </c>
      <c r="B667" s="26" t="s">
        <v>425</v>
      </c>
      <c r="C667" s="26" t="s">
        <v>85</v>
      </c>
      <c r="D667" s="26" t="s">
        <v>24</v>
      </c>
      <c r="E667" s="26" t="s">
        <v>1034</v>
      </c>
      <c r="F667" s="26" t="s">
        <v>244</v>
      </c>
      <c r="G667" s="147"/>
      <c r="H667" s="589"/>
      <c r="I667" s="147"/>
      <c r="J667" s="627">
        <v>463.68</v>
      </c>
      <c r="K667" s="627"/>
      <c r="L667" s="627">
        <f>J667+K667</f>
        <v>463.68</v>
      </c>
      <c r="M667" s="189"/>
      <c r="N667" s="190"/>
      <c r="O667" s="32"/>
    </row>
    <row r="668" spans="1:15" ht="17.25" customHeight="1" thickBot="1">
      <c r="A668" s="176" t="s">
        <v>99</v>
      </c>
      <c r="B668" s="128" t="s">
        <v>425</v>
      </c>
      <c r="C668" s="128" t="s">
        <v>36</v>
      </c>
      <c r="D668" s="128"/>
      <c r="E668" s="128"/>
      <c r="F668" s="128"/>
      <c r="G668" s="604"/>
      <c r="H668" s="605"/>
      <c r="I668" s="604"/>
      <c r="J668" s="381">
        <f>J669</f>
        <v>955.1</v>
      </c>
      <c r="K668" s="381">
        <f>K669</f>
        <v>11.621</v>
      </c>
      <c r="L668" s="381">
        <f>L669</f>
        <v>966.721</v>
      </c>
      <c r="M668" s="189"/>
      <c r="N668" s="190"/>
      <c r="O668" s="32"/>
    </row>
    <row r="669" spans="1:15" ht="30" customHeight="1" thickBot="1">
      <c r="A669" s="109" t="s">
        <v>73</v>
      </c>
      <c r="B669" s="25" t="s">
        <v>425</v>
      </c>
      <c r="C669" s="25" t="s">
        <v>36</v>
      </c>
      <c r="D669" s="25" t="s">
        <v>22</v>
      </c>
      <c r="E669" s="25"/>
      <c r="F669" s="25"/>
      <c r="G669" s="568">
        <f t="shared" ref="G669:L671" si="226">G670</f>
        <v>0</v>
      </c>
      <c r="H669" s="568">
        <f t="shared" si="226"/>
        <v>666</v>
      </c>
      <c r="I669" s="568">
        <f t="shared" si="226"/>
        <v>0</v>
      </c>
      <c r="J669" s="488">
        <f t="shared" si="226"/>
        <v>955.1</v>
      </c>
      <c r="K669" s="488">
        <f t="shared" si="226"/>
        <v>11.621</v>
      </c>
      <c r="L669" s="488">
        <f t="shared" si="226"/>
        <v>966.721</v>
      </c>
      <c r="M669" s="189"/>
      <c r="N669" s="190"/>
      <c r="O669" s="32"/>
    </row>
    <row r="670" spans="1:15" ht="29.25" customHeight="1" thickBot="1">
      <c r="A670" s="110" t="s">
        <v>524</v>
      </c>
      <c r="B670" s="26" t="s">
        <v>425</v>
      </c>
      <c r="C670" s="26" t="s">
        <v>36</v>
      </c>
      <c r="D670" s="26" t="s">
        <v>22</v>
      </c>
      <c r="E670" s="26" t="s">
        <v>525</v>
      </c>
      <c r="F670" s="26"/>
      <c r="G670" s="147">
        <f t="shared" si="226"/>
        <v>0</v>
      </c>
      <c r="H670" s="147">
        <f t="shared" si="226"/>
        <v>666</v>
      </c>
      <c r="I670" s="147">
        <f t="shared" si="226"/>
        <v>0</v>
      </c>
      <c r="J670" s="627">
        <f t="shared" si="226"/>
        <v>955.1</v>
      </c>
      <c r="K670" s="627">
        <f t="shared" si="226"/>
        <v>11.621</v>
      </c>
      <c r="L670" s="627">
        <f t="shared" si="226"/>
        <v>966.721</v>
      </c>
      <c r="M670" s="189"/>
      <c r="N670" s="190"/>
      <c r="O670" s="32"/>
    </row>
    <row r="671" spans="1:15" ht="45" customHeight="1" thickBot="1">
      <c r="A671" s="116" t="s">
        <v>526</v>
      </c>
      <c r="B671" s="26" t="s">
        <v>425</v>
      </c>
      <c r="C671" s="26" t="s">
        <v>36</v>
      </c>
      <c r="D671" s="26" t="s">
        <v>22</v>
      </c>
      <c r="E671" s="26" t="s">
        <v>527</v>
      </c>
      <c r="F671" s="26"/>
      <c r="G671" s="147">
        <f t="shared" si="226"/>
        <v>0</v>
      </c>
      <c r="H671" s="147">
        <f t="shared" si="226"/>
        <v>666</v>
      </c>
      <c r="I671" s="147">
        <f t="shared" si="226"/>
        <v>0</v>
      </c>
      <c r="J671" s="627">
        <f t="shared" si="226"/>
        <v>955.1</v>
      </c>
      <c r="K671" s="627">
        <f t="shared" si="226"/>
        <v>11.621</v>
      </c>
      <c r="L671" s="627">
        <f t="shared" si="226"/>
        <v>966.721</v>
      </c>
      <c r="M671" s="189"/>
      <c r="N671" s="190"/>
      <c r="O671" s="32"/>
    </row>
    <row r="672" spans="1:15" ht="16.5" customHeight="1" thickBot="1">
      <c r="A672" s="110" t="s">
        <v>304</v>
      </c>
      <c r="B672" s="26" t="s">
        <v>425</v>
      </c>
      <c r="C672" s="26" t="s">
        <v>36</v>
      </c>
      <c r="D672" s="26" t="s">
        <v>22</v>
      </c>
      <c r="E672" s="26" t="s">
        <v>527</v>
      </c>
      <c r="F672" s="26" t="s">
        <v>305</v>
      </c>
      <c r="G672" s="147"/>
      <c r="H672" s="147">
        <v>666</v>
      </c>
      <c r="I672" s="147"/>
      <c r="J672" s="627">
        <v>955.1</v>
      </c>
      <c r="K672" s="627">
        <f>11.621</f>
        <v>11.621</v>
      </c>
      <c r="L672" s="627">
        <f>J672+K672</f>
        <v>966.721</v>
      </c>
      <c r="M672" s="189"/>
      <c r="N672" s="190"/>
      <c r="O672" s="11">
        <v>880</v>
      </c>
    </row>
    <row r="673" spans="1:16" ht="30" thickBot="1">
      <c r="A673" s="615" t="s">
        <v>551</v>
      </c>
      <c r="B673" s="209" t="s">
        <v>552</v>
      </c>
      <c r="C673" s="209"/>
      <c r="D673" s="209"/>
      <c r="E673" s="209"/>
      <c r="F673" s="209"/>
      <c r="G673" s="211">
        <f>G674+G694</f>
        <v>166.57999999999998</v>
      </c>
      <c r="H673" s="211">
        <f>H674+H694+H720</f>
        <v>6376.0199999999995</v>
      </c>
      <c r="I673" s="211">
        <f>I674+I694+I720</f>
        <v>0</v>
      </c>
      <c r="J673" s="625">
        <f>J674+J694+J720+J683+J725+J679</f>
        <v>9070.2038599999996</v>
      </c>
      <c r="K673" s="625">
        <f>K674+K694+K720+K683+K725+K679</f>
        <v>132.59142</v>
      </c>
      <c r="L673" s="625">
        <f>L674+L694+L720+L683+L725+L679</f>
        <v>9202.7952800000003</v>
      </c>
      <c r="M673" s="89">
        <f>M674+M694+M720+M683</f>
        <v>52.756</v>
      </c>
      <c r="N673" s="90">
        <f>N674+N694+N720+N683</f>
        <v>5452.1170000000002</v>
      </c>
      <c r="O673" s="15">
        <f>L673-L709-L707</f>
        <v>9164.7952800000003</v>
      </c>
      <c r="P673" s="15"/>
    </row>
    <row r="674" spans="1:16" s="161" customFormat="1" ht="14.25">
      <c r="A674" s="176" t="s">
        <v>18</v>
      </c>
      <c r="B674" s="34" t="s">
        <v>552</v>
      </c>
      <c r="C674" s="34" t="s">
        <v>21</v>
      </c>
      <c r="D674" s="34"/>
      <c r="E674" s="34"/>
      <c r="F674" s="34"/>
      <c r="G674" s="585">
        <f t="shared" ref="G674:N677" si="227">G675</f>
        <v>0</v>
      </c>
      <c r="H674" s="585">
        <f t="shared" si="227"/>
        <v>774.87</v>
      </c>
      <c r="I674" s="585">
        <f t="shared" si="227"/>
        <v>0</v>
      </c>
      <c r="J674" s="379">
        <f t="shared" si="227"/>
        <v>832.74</v>
      </c>
      <c r="K674" s="379">
        <f t="shared" si="227"/>
        <v>0</v>
      </c>
      <c r="L674" s="379">
        <f t="shared" si="227"/>
        <v>832.74</v>
      </c>
      <c r="M674" s="106">
        <f t="shared" si="227"/>
        <v>-78.244</v>
      </c>
      <c r="N674" s="107">
        <f t="shared" si="227"/>
        <v>754.49599999999998</v>
      </c>
    </row>
    <row r="675" spans="1:16" s="113" customFormat="1" ht="75">
      <c r="A675" s="110" t="s">
        <v>272</v>
      </c>
      <c r="B675" s="25" t="s">
        <v>552</v>
      </c>
      <c r="C675" s="25" t="s">
        <v>21</v>
      </c>
      <c r="D675" s="25" t="s">
        <v>26</v>
      </c>
      <c r="E675" s="25"/>
      <c r="F675" s="25"/>
      <c r="G675" s="568">
        <f t="shared" si="227"/>
        <v>0</v>
      </c>
      <c r="H675" s="568">
        <f t="shared" si="227"/>
        <v>774.87</v>
      </c>
      <c r="I675" s="568">
        <f t="shared" si="227"/>
        <v>0</v>
      </c>
      <c r="J675" s="488">
        <f t="shared" si="227"/>
        <v>832.74</v>
      </c>
      <c r="K675" s="488">
        <f t="shared" si="227"/>
        <v>0</v>
      </c>
      <c r="L675" s="488">
        <f t="shared" si="227"/>
        <v>832.74</v>
      </c>
      <c r="M675" s="570">
        <f t="shared" si="227"/>
        <v>-78.244</v>
      </c>
      <c r="N675" s="96">
        <f t="shared" si="227"/>
        <v>754.49599999999998</v>
      </c>
    </row>
    <row r="676" spans="1:16" ht="30">
      <c r="A676" s="110" t="s">
        <v>411</v>
      </c>
      <c r="B676" s="26" t="s">
        <v>552</v>
      </c>
      <c r="C676" s="26" t="s">
        <v>21</v>
      </c>
      <c r="D676" s="26" t="s">
        <v>26</v>
      </c>
      <c r="E676" s="26" t="s">
        <v>191</v>
      </c>
      <c r="F676" s="26"/>
      <c r="G676" s="147">
        <f t="shared" si="227"/>
        <v>0</v>
      </c>
      <c r="H676" s="147">
        <f t="shared" si="227"/>
        <v>774.87</v>
      </c>
      <c r="I676" s="147">
        <f t="shared" si="227"/>
        <v>0</v>
      </c>
      <c r="J676" s="627">
        <f t="shared" si="227"/>
        <v>832.74</v>
      </c>
      <c r="K676" s="627">
        <f t="shared" si="227"/>
        <v>0</v>
      </c>
      <c r="L676" s="627">
        <f t="shared" si="227"/>
        <v>832.74</v>
      </c>
      <c r="M676" s="42">
        <f t="shared" si="227"/>
        <v>-78.244</v>
      </c>
      <c r="N676" s="43">
        <f t="shared" si="227"/>
        <v>754.49599999999998</v>
      </c>
    </row>
    <row r="677" spans="1:16">
      <c r="A677" s="110" t="s">
        <v>192</v>
      </c>
      <c r="B677" s="26" t="s">
        <v>552</v>
      </c>
      <c r="C677" s="26" t="s">
        <v>21</v>
      </c>
      <c r="D677" s="26" t="s">
        <v>26</v>
      </c>
      <c r="E677" s="26" t="s">
        <v>193</v>
      </c>
      <c r="F677" s="26"/>
      <c r="G677" s="147">
        <f t="shared" si="227"/>
        <v>0</v>
      </c>
      <c r="H677" s="147">
        <f t="shared" si="227"/>
        <v>774.87</v>
      </c>
      <c r="I677" s="147">
        <f t="shared" si="227"/>
        <v>0</v>
      </c>
      <c r="J677" s="627">
        <f t="shared" si="227"/>
        <v>832.74</v>
      </c>
      <c r="K677" s="627">
        <f t="shared" si="227"/>
        <v>0</v>
      </c>
      <c r="L677" s="627">
        <f t="shared" si="227"/>
        <v>832.74</v>
      </c>
      <c r="M677" s="42">
        <f t="shared" si="227"/>
        <v>-78.244</v>
      </c>
      <c r="N677" s="43">
        <f t="shared" si="227"/>
        <v>754.49599999999998</v>
      </c>
    </row>
    <row r="678" spans="1:16" ht="30">
      <c r="A678" s="116" t="s">
        <v>135</v>
      </c>
      <c r="B678" s="26" t="s">
        <v>552</v>
      </c>
      <c r="C678" s="26" t="s">
        <v>21</v>
      </c>
      <c r="D678" s="26" t="s">
        <v>26</v>
      </c>
      <c r="E678" s="26" t="s">
        <v>193</v>
      </c>
      <c r="F678" s="26" t="s">
        <v>133</v>
      </c>
      <c r="G678" s="147"/>
      <c r="H678" s="191">
        <v>774.87</v>
      </c>
      <c r="I678" s="191"/>
      <c r="J678" s="627">
        <v>832.74</v>
      </c>
      <c r="K678" s="627"/>
      <c r="L678" s="627">
        <f>J678+K678</f>
        <v>832.74</v>
      </c>
      <c r="M678" s="42">
        <f>-78.244</f>
        <v>-78.244</v>
      </c>
      <c r="N678" s="30">
        <f>L678+M678</f>
        <v>754.49599999999998</v>
      </c>
      <c r="O678" s="44">
        <v>774.97</v>
      </c>
      <c r="P678" s="15">
        <f>L678-O678</f>
        <v>57.769999999999982</v>
      </c>
    </row>
    <row r="679" spans="1:16" s="458" customFormat="1" ht="14.25">
      <c r="A679" s="455" t="s">
        <v>48</v>
      </c>
      <c r="B679" s="456" t="s">
        <v>552</v>
      </c>
      <c r="C679" s="456" t="s">
        <v>26</v>
      </c>
      <c r="D679" s="456"/>
      <c r="E679" s="456"/>
      <c r="F679" s="456"/>
      <c r="G679" s="616"/>
      <c r="H679" s="617"/>
      <c r="I679" s="617"/>
      <c r="J679" s="635">
        <f>J680</f>
        <v>25.989460000000001</v>
      </c>
      <c r="K679" s="635">
        <f t="shared" ref="K679:N681" si="228">K680</f>
        <v>25.989419999999999</v>
      </c>
      <c r="L679" s="635">
        <f t="shared" si="228"/>
        <v>51.978880000000004</v>
      </c>
      <c r="M679" s="464">
        <f t="shared" si="228"/>
        <v>0</v>
      </c>
      <c r="N679" s="457">
        <f t="shared" si="228"/>
        <v>0</v>
      </c>
      <c r="P679" s="459"/>
    </row>
    <row r="680" spans="1:16">
      <c r="A680" s="121" t="s">
        <v>50</v>
      </c>
      <c r="B680" s="25" t="s">
        <v>552</v>
      </c>
      <c r="C680" s="25" t="s">
        <v>26</v>
      </c>
      <c r="D680" s="25" t="s">
        <v>21</v>
      </c>
      <c r="E680" s="25"/>
      <c r="F680" s="25"/>
      <c r="G680" s="147"/>
      <c r="H680" s="191"/>
      <c r="I680" s="191"/>
      <c r="J680" s="488">
        <f>J681</f>
        <v>25.989460000000001</v>
      </c>
      <c r="K680" s="488">
        <f t="shared" si="228"/>
        <v>25.989419999999999</v>
      </c>
      <c r="L680" s="488">
        <f t="shared" si="228"/>
        <v>51.978880000000004</v>
      </c>
      <c r="M680" s="465">
        <f t="shared" si="228"/>
        <v>0</v>
      </c>
      <c r="N680" s="380">
        <f t="shared" si="228"/>
        <v>0</v>
      </c>
      <c r="O680" s="44"/>
      <c r="P680" s="15"/>
    </row>
    <row r="681" spans="1:16" ht="30">
      <c r="A681" s="123" t="s">
        <v>1150</v>
      </c>
      <c r="B681" s="26" t="s">
        <v>552</v>
      </c>
      <c r="C681" s="26" t="s">
        <v>26</v>
      </c>
      <c r="D681" s="26" t="s">
        <v>21</v>
      </c>
      <c r="E681" s="26" t="s">
        <v>1140</v>
      </c>
      <c r="F681" s="26"/>
      <c r="G681" s="147"/>
      <c r="H681" s="191"/>
      <c r="I681" s="191"/>
      <c r="J681" s="627">
        <f>J682</f>
        <v>25.989460000000001</v>
      </c>
      <c r="K681" s="627">
        <f t="shared" si="228"/>
        <v>25.989419999999999</v>
      </c>
      <c r="L681" s="627">
        <f t="shared" si="228"/>
        <v>51.978880000000004</v>
      </c>
      <c r="M681" s="42"/>
      <c r="N681" s="30"/>
      <c r="O681" s="44"/>
      <c r="P681" s="15"/>
    </row>
    <row r="682" spans="1:16" ht="30">
      <c r="A682" s="116" t="s">
        <v>135</v>
      </c>
      <c r="B682" s="26" t="s">
        <v>552</v>
      </c>
      <c r="C682" s="26" t="s">
        <v>26</v>
      </c>
      <c r="D682" s="26" t="s">
        <v>21</v>
      </c>
      <c r="E682" s="26" t="s">
        <v>1140</v>
      </c>
      <c r="F682" s="26" t="s">
        <v>142</v>
      </c>
      <c r="G682" s="147"/>
      <c r="H682" s="191"/>
      <c r="I682" s="191"/>
      <c r="J682" s="627">
        <v>25.989460000000001</v>
      </c>
      <c r="K682" s="627">
        <v>25.989419999999999</v>
      </c>
      <c r="L682" s="627">
        <f>J682+K682</f>
        <v>51.978880000000004</v>
      </c>
      <c r="M682" s="42"/>
      <c r="N682" s="30"/>
      <c r="O682" s="44"/>
      <c r="P682" s="15"/>
    </row>
    <row r="683" spans="1:16" s="161" customFormat="1" ht="14.25">
      <c r="A683" s="181" t="s">
        <v>63</v>
      </c>
      <c r="B683" s="34" t="s">
        <v>552</v>
      </c>
      <c r="C683" s="34" t="s">
        <v>32</v>
      </c>
      <c r="D683" s="34"/>
      <c r="E683" s="34"/>
      <c r="F683" s="34"/>
      <c r="G683" s="585" t="e">
        <f>G705+G719+#REF!</f>
        <v>#REF!</v>
      </c>
      <c r="H683" s="588">
        <f>H705+H719+H684</f>
        <v>3071.02</v>
      </c>
      <c r="I683" s="588">
        <f>I705+I719+I684</f>
        <v>0</v>
      </c>
      <c r="J683" s="379">
        <f>J684</f>
        <v>258.57400000000001</v>
      </c>
      <c r="K683" s="379">
        <f>K684</f>
        <v>2.1649999999999991</v>
      </c>
      <c r="L683" s="379">
        <f>L684</f>
        <v>260.73900000000003</v>
      </c>
      <c r="M683" s="36">
        <f>M684</f>
        <v>50</v>
      </c>
      <c r="N683" s="94">
        <f>N684</f>
        <v>50</v>
      </c>
    </row>
    <row r="684" spans="1:16" s="113" customFormat="1" ht="28.5">
      <c r="A684" s="119" t="s">
        <v>68</v>
      </c>
      <c r="B684" s="25" t="s">
        <v>552</v>
      </c>
      <c r="C684" s="25" t="s">
        <v>32</v>
      </c>
      <c r="D684" s="25" t="s">
        <v>32</v>
      </c>
      <c r="E684" s="25"/>
      <c r="F684" s="25"/>
      <c r="G684" s="488">
        <f t="shared" ref="G684:J684" si="229">G685+G689+G691+G687</f>
        <v>0</v>
      </c>
      <c r="H684" s="488">
        <f t="shared" si="229"/>
        <v>15.72</v>
      </c>
      <c r="I684" s="488">
        <f t="shared" si="229"/>
        <v>0</v>
      </c>
      <c r="J684" s="488">
        <f t="shared" si="229"/>
        <v>258.57400000000001</v>
      </c>
      <c r="K684" s="488">
        <f>K685+K689+K691+K687</f>
        <v>2.1649999999999991</v>
      </c>
      <c r="L684" s="488">
        <f>L685+L689+L691+L687</f>
        <v>260.73900000000003</v>
      </c>
      <c r="M684" s="570">
        <f>M685</f>
        <v>50</v>
      </c>
      <c r="N684" s="96">
        <f>N685</f>
        <v>50</v>
      </c>
    </row>
    <row r="685" spans="1:16" ht="30" hidden="1">
      <c r="A685" s="116" t="s">
        <v>519</v>
      </c>
      <c r="B685" s="26" t="s">
        <v>552</v>
      </c>
      <c r="C685" s="26" t="s">
        <v>32</v>
      </c>
      <c r="D685" s="26" t="s">
        <v>32</v>
      </c>
      <c r="E685" s="26" t="s">
        <v>520</v>
      </c>
      <c r="F685" s="26"/>
      <c r="G685" s="147">
        <f t="shared" ref="G685:I685" si="230">G686</f>
        <v>0</v>
      </c>
      <c r="H685" s="147">
        <f t="shared" si="230"/>
        <v>15.72</v>
      </c>
      <c r="I685" s="147">
        <f t="shared" si="230"/>
        <v>0</v>
      </c>
      <c r="J685" s="627">
        <f>J686</f>
        <v>0</v>
      </c>
      <c r="K685" s="627">
        <f>K686</f>
        <v>0</v>
      </c>
      <c r="L685" s="627">
        <f>L686</f>
        <v>0</v>
      </c>
      <c r="M685" s="42">
        <f>M686</f>
        <v>50</v>
      </c>
      <c r="N685" s="43">
        <f>N686</f>
        <v>50</v>
      </c>
    </row>
    <row r="686" spans="1:16" ht="30" hidden="1">
      <c r="A686" s="116" t="s">
        <v>135</v>
      </c>
      <c r="B686" s="26" t="s">
        <v>552</v>
      </c>
      <c r="C686" s="26" t="s">
        <v>32</v>
      </c>
      <c r="D686" s="26" t="s">
        <v>32</v>
      </c>
      <c r="E686" s="26" t="s">
        <v>520</v>
      </c>
      <c r="F686" s="26" t="s">
        <v>133</v>
      </c>
      <c r="G686" s="147"/>
      <c r="H686" s="147">
        <v>15.72</v>
      </c>
      <c r="I686" s="147"/>
      <c r="J686" s="627"/>
      <c r="K686" s="627"/>
      <c r="L686" s="627">
        <f>J686+K686</f>
        <v>0</v>
      </c>
      <c r="M686" s="42">
        <v>50</v>
      </c>
      <c r="N686" s="30">
        <f>L686+M686</f>
        <v>50</v>
      </c>
    </row>
    <row r="687" spans="1:16" ht="30">
      <c r="A687" s="618" t="s">
        <v>1206</v>
      </c>
      <c r="B687" s="26" t="s">
        <v>552</v>
      </c>
      <c r="C687" s="26" t="s">
        <v>32</v>
      </c>
      <c r="D687" s="26" t="s">
        <v>32</v>
      </c>
      <c r="E687" s="26" t="s">
        <v>520</v>
      </c>
      <c r="F687" s="26"/>
      <c r="G687" s="147"/>
      <c r="H687" s="147"/>
      <c r="I687" s="147"/>
      <c r="J687" s="627">
        <f>J688</f>
        <v>0</v>
      </c>
      <c r="K687" s="627">
        <f t="shared" ref="K687:L687" si="231">K688</f>
        <v>58.014000000000003</v>
      </c>
      <c r="L687" s="627">
        <f t="shared" si="231"/>
        <v>58.014000000000003</v>
      </c>
      <c r="M687" s="42"/>
      <c r="N687" s="30"/>
    </row>
    <row r="688" spans="1:16" ht="30">
      <c r="A688" s="178" t="s">
        <v>152</v>
      </c>
      <c r="B688" s="26" t="s">
        <v>552</v>
      </c>
      <c r="C688" s="26" t="s">
        <v>32</v>
      </c>
      <c r="D688" s="26" t="s">
        <v>32</v>
      </c>
      <c r="E688" s="26" t="s">
        <v>520</v>
      </c>
      <c r="F688" s="26" t="s">
        <v>142</v>
      </c>
      <c r="G688" s="147"/>
      <c r="H688" s="147"/>
      <c r="I688" s="147"/>
      <c r="J688" s="627"/>
      <c r="K688" s="627">
        <v>58.014000000000003</v>
      </c>
      <c r="L688" s="627">
        <f>J688+K688</f>
        <v>58.014000000000003</v>
      </c>
      <c r="M688" s="42"/>
      <c r="N688" s="30"/>
    </row>
    <row r="689" spans="1:16" ht="30">
      <c r="A689" s="110" t="s">
        <v>145</v>
      </c>
      <c r="B689" s="26" t="s">
        <v>552</v>
      </c>
      <c r="C689" s="26" t="s">
        <v>32</v>
      </c>
      <c r="D689" s="26" t="s">
        <v>32</v>
      </c>
      <c r="E689" s="26" t="s">
        <v>553</v>
      </c>
      <c r="F689" s="26"/>
      <c r="G689" s="147"/>
      <c r="H689" s="147"/>
      <c r="I689" s="147"/>
      <c r="J689" s="627">
        <f>J690</f>
        <v>187.57400000000001</v>
      </c>
      <c r="K689" s="627">
        <f>K690</f>
        <v>-55.849000000000004</v>
      </c>
      <c r="L689" s="627">
        <f>L690</f>
        <v>131.72500000000002</v>
      </c>
      <c r="M689" s="42"/>
      <c r="N689" s="30"/>
    </row>
    <row r="690" spans="1:16" ht="30">
      <c r="A690" s="178" t="s">
        <v>152</v>
      </c>
      <c r="B690" s="26" t="s">
        <v>552</v>
      </c>
      <c r="C690" s="26" t="s">
        <v>32</v>
      </c>
      <c r="D690" s="26" t="s">
        <v>32</v>
      </c>
      <c r="E690" s="26" t="s">
        <v>553</v>
      </c>
      <c r="F690" s="26" t="s">
        <v>142</v>
      </c>
      <c r="G690" s="147"/>
      <c r="H690" s="147"/>
      <c r="I690" s="147"/>
      <c r="J690" s="627">
        <v>187.57400000000001</v>
      </c>
      <c r="K690" s="627">
        <f>1.613+0.552-58.014</f>
        <v>-55.849000000000004</v>
      </c>
      <c r="L690" s="627">
        <f>J690+K690</f>
        <v>131.72500000000002</v>
      </c>
      <c r="M690" s="42"/>
      <c r="N690" s="30"/>
      <c r="O690" s="44">
        <v>124.86</v>
      </c>
      <c r="P690" s="15">
        <f>L690-O690</f>
        <v>6.8650000000000233</v>
      </c>
    </row>
    <row r="691" spans="1:16" ht="30">
      <c r="A691" s="110" t="s">
        <v>412</v>
      </c>
      <c r="B691" s="26" t="s">
        <v>552</v>
      </c>
      <c r="C691" s="26" t="s">
        <v>32</v>
      </c>
      <c r="D691" s="26" t="s">
        <v>32</v>
      </c>
      <c r="E691" s="26" t="s">
        <v>413</v>
      </c>
      <c r="F691" s="26"/>
      <c r="G691" s="147"/>
      <c r="H691" s="147"/>
      <c r="I691" s="147"/>
      <c r="J691" s="627">
        <f t="shared" ref="J691:L692" si="232">J692</f>
        <v>71</v>
      </c>
      <c r="K691" s="627">
        <f t="shared" si="232"/>
        <v>0</v>
      </c>
      <c r="L691" s="627">
        <f t="shared" si="232"/>
        <v>71</v>
      </c>
      <c r="M691" s="42"/>
      <c r="N691" s="30"/>
      <c r="O691" s="44"/>
    </row>
    <row r="692" spans="1:16" ht="45">
      <c r="A692" s="110" t="s">
        <v>554</v>
      </c>
      <c r="B692" s="26" t="s">
        <v>552</v>
      </c>
      <c r="C692" s="26" t="s">
        <v>32</v>
      </c>
      <c r="D692" s="26" t="s">
        <v>32</v>
      </c>
      <c r="E692" s="26" t="s">
        <v>546</v>
      </c>
      <c r="F692" s="26"/>
      <c r="G692" s="147"/>
      <c r="H692" s="147"/>
      <c r="I692" s="147"/>
      <c r="J692" s="627">
        <f t="shared" si="232"/>
        <v>71</v>
      </c>
      <c r="K692" s="627">
        <f t="shared" si="232"/>
        <v>0</v>
      </c>
      <c r="L692" s="627">
        <f t="shared" si="232"/>
        <v>71</v>
      </c>
      <c r="M692" s="42"/>
      <c r="N692" s="30"/>
      <c r="O692" s="44"/>
    </row>
    <row r="693" spans="1:16" ht="30">
      <c r="A693" s="110" t="s">
        <v>135</v>
      </c>
      <c r="B693" s="26" t="s">
        <v>552</v>
      </c>
      <c r="C693" s="26" t="s">
        <v>32</v>
      </c>
      <c r="D693" s="26" t="s">
        <v>32</v>
      </c>
      <c r="E693" s="26" t="s">
        <v>546</v>
      </c>
      <c r="F693" s="26" t="s">
        <v>133</v>
      </c>
      <c r="G693" s="147"/>
      <c r="H693" s="147"/>
      <c r="I693" s="147"/>
      <c r="J693" s="627">
        <v>71</v>
      </c>
      <c r="K693" s="627"/>
      <c r="L693" s="627">
        <f>J693+K693</f>
        <v>71</v>
      </c>
      <c r="M693" s="42"/>
      <c r="N693" s="30"/>
      <c r="O693" s="44">
        <v>166</v>
      </c>
      <c r="P693" s="15">
        <f>L693-O693</f>
        <v>-95</v>
      </c>
    </row>
    <row r="694" spans="1:16" s="161" customFormat="1" ht="28.5">
      <c r="A694" s="176" t="s">
        <v>555</v>
      </c>
      <c r="B694" s="34" t="s">
        <v>552</v>
      </c>
      <c r="C694" s="34" t="s">
        <v>53</v>
      </c>
      <c r="D694" s="34"/>
      <c r="E694" s="34"/>
      <c r="F694" s="34"/>
      <c r="G694" s="585">
        <f>G695+G716</f>
        <v>166.57999999999998</v>
      </c>
      <c r="H694" s="585">
        <f>H695+H716</f>
        <v>5601.15</v>
      </c>
      <c r="I694" s="585">
        <f>I695+I716</f>
        <v>0</v>
      </c>
      <c r="J694" s="379">
        <f>J695+J716+J712</f>
        <v>6674.161399999999</v>
      </c>
      <c r="K694" s="379">
        <f>K695+K716+K712</f>
        <v>104.437</v>
      </c>
      <c r="L694" s="379">
        <f>L695+L716+L712</f>
        <v>6778.5983999999999</v>
      </c>
      <c r="M694" s="152">
        <f>M695+M716+M712</f>
        <v>1</v>
      </c>
      <c r="N694" s="35">
        <f>N695+N716+N712</f>
        <v>4567.6210000000001</v>
      </c>
    </row>
    <row r="695" spans="1:16" s="113" customFormat="1" ht="14.25">
      <c r="A695" s="109" t="s">
        <v>72</v>
      </c>
      <c r="B695" s="25" t="s">
        <v>552</v>
      </c>
      <c r="C695" s="25" t="s">
        <v>53</v>
      </c>
      <c r="D695" s="25" t="s">
        <v>21</v>
      </c>
      <c r="E695" s="25"/>
      <c r="F695" s="25"/>
      <c r="G695" s="568">
        <f t="shared" ref="G695:M695" si="233">G696+G703</f>
        <v>137.57999999999998</v>
      </c>
      <c r="H695" s="568">
        <f t="shared" si="233"/>
        <v>3820.25</v>
      </c>
      <c r="I695" s="568">
        <f t="shared" si="233"/>
        <v>0</v>
      </c>
      <c r="J695" s="488">
        <f>J696+J703+J708+J710</f>
        <v>4562.1099999999997</v>
      </c>
      <c r="K695" s="488">
        <f>K696+K703+K708+K710</f>
        <v>48.010999999999996</v>
      </c>
      <c r="L695" s="488">
        <f>L696+L703+L708+L710</f>
        <v>4610.1210000000001</v>
      </c>
      <c r="M695" s="570">
        <f t="shared" si="233"/>
        <v>51</v>
      </c>
      <c r="N695" s="96">
        <f>N696+N703</f>
        <v>4617.6210000000001</v>
      </c>
    </row>
    <row r="696" spans="1:16">
      <c r="A696" s="110" t="s">
        <v>556</v>
      </c>
      <c r="B696" s="26" t="s">
        <v>552</v>
      </c>
      <c r="C696" s="26" t="s">
        <v>53</v>
      </c>
      <c r="D696" s="26" t="s">
        <v>21</v>
      </c>
      <c r="E696" s="26" t="s">
        <v>557</v>
      </c>
      <c r="F696" s="26"/>
      <c r="G696" s="147">
        <f t="shared" ref="G696:N696" si="234">G697</f>
        <v>67.58</v>
      </c>
      <c r="H696" s="147">
        <f t="shared" si="234"/>
        <v>2510.85</v>
      </c>
      <c r="I696" s="147">
        <f t="shared" si="234"/>
        <v>0</v>
      </c>
      <c r="J696" s="627">
        <f t="shared" si="234"/>
        <v>1230.1690000000001</v>
      </c>
      <c r="K696" s="627">
        <f t="shared" si="234"/>
        <v>11.050999999999998</v>
      </c>
      <c r="L696" s="627">
        <f t="shared" si="234"/>
        <v>1241.22</v>
      </c>
      <c r="M696" s="42">
        <f t="shared" si="234"/>
        <v>-39</v>
      </c>
      <c r="N696" s="43">
        <f t="shared" si="234"/>
        <v>1202.22</v>
      </c>
    </row>
    <row r="697" spans="1:16" ht="30">
      <c r="A697" s="110" t="s">
        <v>145</v>
      </c>
      <c r="B697" s="26" t="s">
        <v>552</v>
      </c>
      <c r="C697" s="26" t="s">
        <v>53</v>
      </c>
      <c r="D697" s="26" t="s">
        <v>21</v>
      </c>
      <c r="E697" s="26" t="s">
        <v>321</v>
      </c>
      <c r="F697" s="26"/>
      <c r="G697" s="147">
        <f>G698</f>
        <v>67.58</v>
      </c>
      <c r="H697" s="147">
        <f>H698</f>
        <v>2510.85</v>
      </c>
      <c r="I697" s="147">
        <f>I698</f>
        <v>0</v>
      </c>
      <c r="J697" s="627">
        <f>J698+J699+J701</f>
        <v>1230.1690000000001</v>
      </c>
      <c r="K697" s="627">
        <f>K698+K699+K701</f>
        <v>11.050999999999998</v>
      </c>
      <c r="L697" s="627">
        <f>L698+L699+L701</f>
        <v>1241.22</v>
      </c>
      <c r="M697" s="42">
        <f>M698</f>
        <v>-39</v>
      </c>
      <c r="N697" s="43">
        <f>N698</f>
        <v>1202.22</v>
      </c>
    </row>
    <row r="698" spans="1:16" ht="30">
      <c r="A698" s="110" t="s">
        <v>141</v>
      </c>
      <c r="B698" s="26" t="s">
        <v>552</v>
      </c>
      <c r="C698" s="26" t="s">
        <v>53</v>
      </c>
      <c r="D698" s="26" t="s">
        <v>21</v>
      </c>
      <c r="E698" s="26" t="s">
        <v>321</v>
      </c>
      <c r="F698" s="26" t="s">
        <v>142</v>
      </c>
      <c r="G698" s="147">
        <f>67.58</f>
        <v>67.58</v>
      </c>
      <c r="H698" s="589">
        <v>2510.85</v>
      </c>
      <c r="I698" s="147"/>
      <c r="J698" s="627">
        <v>1230.1690000000001</v>
      </c>
      <c r="K698" s="627">
        <f>8.235+2.816</f>
        <v>11.050999999999998</v>
      </c>
      <c r="L698" s="627">
        <f>J698+K698</f>
        <v>1241.22</v>
      </c>
      <c r="M698" s="192">
        <f>-4-35</f>
        <v>-39</v>
      </c>
      <c r="N698" s="30">
        <f>L698+M698</f>
        <v>1202.22</v>
      </c>
      <c r="O698" s="44">
        <v>1151.4100000000001</v>
      </c>
      <c r="P698" s="15">
        <f>L698-O698</f>
        <v>89.809999999999945</v>
      </c>
    </row>
    <row r="699" spans="1:16" ht="30" hidden="1">
      <c r="A699" s="31" t="s">
        <v>558</v>
      </c>
      <c r="B699" s="26" t="s">
        <v>552</v>
      </c>
      <c r="C699" s="26" t="s">
        <v>53</v>
      </c>
      <c r="D699" s="26" t="s">
        <v>21</v>
      </c>
      <c r="E699" s="26" t="s">
        <v>321</v>
      </c>
      <c r="F699" s="26"/>
      <c r="G699" s="147"/>
      <c r="H699" s="589"/>
      <c r="I699" s="147"/>
      <c r="J699" s="627">
        <f>J700</f>
        <v>0</v>
      </c>
      <c r="K699" s="627">
        <f>K700</f>
        <v>0</v>
      </c>
      <c r="L699" s="627">
        <f>L700</f>
        <v>0</v>
      </c>
      <c r="M699" s="192"/>
      <c r="N699" s="30"/>
      <c r="P699" s="97"/>
    </row>
    <row r="700" spans="1:16" ht="30" hidden="1">
      <c r="A700" s="31" t="s">
        <v>152</v>
      </c>
      <c r="B700" s="26" t="s">
        <v>552</v>
      </c>
      <c r="C700" s="26" t="s">
        <v>53</v>
      </c>
      <c r="D700" s="26" t="s">
        <v>21</v>
      </c>
      <c r="E700" s="26" t="s">
        <v>559</v>
      </c>
      <c r="F700" s="26" t="s">
        <v>142</v>
      </c>
      <c r="G700" s="147"/>
      <c r="H700" s="589"/>
      <c r="I700" s="147"/>
      <c r="J700" s="627"/>
      <c r="K700" s="627"/>
      <c r="L700" s="627">
        <f>J700+K700</f>
        <v>0</v>
      </c>
      <c r="M700" s="192"/>
      <c r="N700" s="30"/>
      <c r="O700" s="56"/>
      <c r="P700" s="97"/>
    </row>
    <row r="701" spans="1:16" ht="45" hidden="1">
      <c r="A701" s="31" t="s">
        <v>155</v>
      </c>
      <c r="B701" s="26" t="s">
        <v>552</v>
      </c>
      <c r="C701" s="26" t="s">
        <v>53</v>
      </c>
      <c r="D701" s="26" t="s">
        <v>21</v>
      </c>
      <c r="E701" s="26" t="s">
        <v>321</v>
      </c>
      <c r="F701" s="26"/>
      <c r="G701" s="147"/>
      <c r="H701" s="589"/>
      <c r="I701" s="147"/>
      <c r="J701" s="627">
        <f>J702</f>
        <v>0</v>
      </c>
      <c r="K701" s="627">
        <f>K702</f>
        <v>0</v>
      </c>
      <c r="L701" s="627">
        <f>L702</f>
        <v>0</v>
      </c>
      <c r="M701" s="192"/>
      <c r="N701" s="30"/>
      <c r="P701" s="97"/>
    </row>
    <row r="702" spans="1:16" ht="30" hidden="1">
      <c r="A702" s="31" t="s">
        <v>152</v>
      </c>
      <c r="B702" s="26" t="s">
        <v>552</v>
      </c>
      <c r="C702" s="26" t="s">
        <v>53</v>
      </c>
      <c r="D702" s="26" t="s">
        <v>21</v>
      </c>
      <c r="E702" s="26" t="s">
        <v>560</v>
      </c>
      <c r="F702" s="26" t="s">
        <v>142</v>
      </c>
      <c r="G702" s="147"/>
      <c r="H702" s="589"/>
      <c r="I702" s="147"/>
      <c r="J702" s="627"/>
      <c r="K702" s="627">
        <v>0</v>
      </c>
      <c r="L702" s="628">
        <f>J702+K702</f>
        <v>0</v>
      </c>
      <c r="M702" s="192"/>
      <c r="N702" s="30"/>
      <c r="O702" s="44"/>
      <c r="P702" s="97"/>
    </row>
    <row r="703" spans="1:16" ht="45">
      <c r="A703" s="110" t="s">
        <v>561</v>
      </c>
      <c r="B703" s="26" t="s">
        <v>552</v>
      </c>
      <c r="C703" s="26" t="s">
        <v>53</v>
      </c>
      <c r="D703" s="26" t="s">
        <v>21</v>
      </c>
      <c r="E703" s="26" t="s">
        <v>562</v>
      </c>
      <c r="F703" s="26"/>
      <c r="G703" s="147">
        <f t="shared" ref="G703:M703" si="235">G704+G706</f>
        <v>70</v>
      </c>
      <c r="H703" s="147">
        <f t="shared" si="235"/>
        <v>1309.4000000000001</v>
      </c>
      <c r="I703" s="147">
        <f t="shared" si="235"/>
        <v>0</v>
      </c>
      <c r="J703" s="627">
        <f t="shared" si="235"/>
        <v>3288.4409999999998</v>
      </c>
      <c r="K703" s="627">
        <f t="shared" si="235"/>
        <v>36.96</v>
      </c>
      <c r="L703" s="627">
        <f t="shared" si="235"/>
        <v>3325.4009999999998</v>
      </c>
      <c r="M703" s="42">
        <f t="shared" si="235"/>
        <v>90</v>
      </c>
      <c r="N703" s="43">
        <f>N704+N706</f>
        <v>3415.4009999999998</v>
      </c>
    </row>
    <row r="704" spans="1:16" ht="30">
      <c r="A704" s="110" t="s">
        <v>145</v>
      </c>
      <c r="B704" s="26" t="s">
        <v>552</v>
      </c>
      <c r="C704" s="26" t="s">
        <v>53</v>
      </c>
      <c r="D704" s="26" t="s">
        <v>21</v>
      </c>
      <c r="E704" s="26" t="s">
        <v>563</v>
      </c>
      <c r="F704" s="26"/>
      <c r="G704" s="147">
        <f t="shared" ref="G704:N704" si="236">G705</f>
        <v>70</v>
      </c>
      <c r="H704" s="147">
        <f t="shared" si="236"/>
        <v>1274.4000000000001</v>
      </c>
      <c r="I704" s="147">
        <f t="shared" si="236"/>
        <v>0</v>
      </c>
      <c r="J704" s="627">
        <f t="shared" si="236"/>
        <v>3250.4409999999998</v>
      </c>
      <c r="K704" s="627">
        <f t="shared" si="236"/>
        <v>36.96</v>
      </c>
      <c r="L704" s="627">
        <f t="shared" si="236"/>
        <v>3287.4009999999998</v>
      </c>
      <c r="M704" s="42">
        <f t="shared" si="236"/>
        <v>90</v>
      </c>
      <c r="N704" s="43">
        <f t="shared" si="236"/>
        <v>3377.4009999999998</v>
      </c>
    </row>
    <row r="705" spans="1:19" ht="30">
      <c r="A705" s="110" t="s">
        <v>141</v>
      </c>
      <c r="B705" s="26" t="s">
        <v>552</v>
      </c>
      <c r="C705" s="26" t="s">
        <v>53</v>
      </c>
      <c r="D705" s="26" t="s">
        <v>21</v>
      </c>
      <c r="E705" s="26" t="s">
        <v>563</v>
      </c>
      <c r="F705" s="26" t="s">
        <v>142</v>
      </c>
      <c r="G705" s="147">
        <f>10+60</f>
        <v>70</v>
      </c>
      <c r="H705" s="589">
        <v>1274.4000000000001</v>
      </c>
      <c r="I705" s="147"/>
      <c r="J705" s="627">
        <v>3250.4409999999998</v>
      </c>
      <c r="K705" s="627">
        <f>27.541+9.419</f>
        <v>36.96</v>
      </c>
      <c r="L705" s="627">
        <f>J705+K705</f>
        <v>3287.4009999999998</v>
      </c>
      <c r="M705" s="42">
        <v>90</v>
      </c>
      <c r="N705" s="30">
        <f>L705+M705</f>
        <v>3377.4009999999998</v>
      </c>
      <c r="O705" s="44">
        <v>2316.75</v>
      </c>
      <c r="P705" s="15">
        <f>L705-O705</f>
        <v>970.65099999999984</v>
      </c>
    </row>
    <row r="706" spans="1:19" ht="30">
      <c r="A706" s="110" t="s">
        <v>145</v>
      </c>
      <c r="B706" s="26" t="s">
        <v>552</v>
      </c>
      <c r="C706" s="26" t="s">
        <v>53</v>
      </c>
      <c r="D706" s="26" t="s">
        <v>21</v>
      </c>
      <c r="E706" s="26" t="s">
        <v>564</v>
      </c>
      <c r="F706" s="26"/>
      <c r="G706" s="147">
        <f t="shared" ref="G706:N706" si="237">G707</f>
        <v>0</v>
      </c>
      <c r="H706" s="589">
        <f t="shared" si="237"/>
        <v>35</v>
      </c>
      <c r="I706" s="147">
        <f t="shared" si="237"/>
        <v>0</v>
      </c>
      <c r="J706" s="627">
        <f t="shared" si="237"/>
        <v>38</v>
      </c>
      <c r="K706" s="627">
        <f t="shared" si="237"/>
        <v>0</v>
      </c>
      <c r="L706" s="627">
        <f t="shared" si="237"/>
        <v>38</v>
      </c>
      <c r="M706" s="42">
        <f t="shared" si="237"/>
        <v>0</v>
      </c>
      <c r="N706" s="30">
        <f t="shared" si="237"/>
        <v>38</v>
      </c>
    </row>
    <row r="707" spans="1:19" ht="30">
      <c r="A707" s="110" t="s">
        <v>141</v>
      </c>
      <c r="B707" s="26" t="s">
        <v>552</v>
      </c>
      <c r="C707" s="26" t="s">
        <v>53</v>
      </c>
      <c r="D707" s="26" t="s">
        <v>21</v>
      </c>
      <c r="E707" s="26" t="s">
        <v>564</v>
      </c>
      <c r="F707" s="26" t="s">
        <v>142</v>
      </c>
      <c r="G707" s="147"/>
      <c r="H707" s="589">
        <v>35</v>
      </c>
      <c r="I707" s="147"/>
      <c r="J707" s="627">
        <v>38</v>
      </c>
      <c r="K707" s="627"/>
      <c r="L707" s="627">
        <f>J707+K707</f>
        <v>38</v>
      </c>
      <c r="M707" s="42"/>
      <c r="N707" s="30">
        <f>L707+M707</f>
        <v>38</v>
      </c>
      <c r="O707" s="44"/>
      <c r="S707" s="156"/>
    </row>
    <row r="708" spans="1:19" ht="45">
      <c r="A708" s="110" t="s">
        <v>565</v>
      </c>
      <c r="B708" s="26" t="s">
        <v>552</v>
      </c>
      <c r="C708" s="26" t="s">
        <v>53</v>
      </c>
      <c r="D708" s="26" t="s">
        <v>21</v>
      </c>
      <c r="E708" s="26" t="s">
        <v>566</v>
      </c>
      <c r="F708" s="26"/>
      <c r="G708" s="147"/>
      <c r="H708" s="589"/>
      <c r="I708" s="147"/>
      <c r="J708" s="627">
        <f>J709</f>
        <v>0</v>
      </c>
      <c r="K708" s="627">
        <f>K709</f>
        <v>0</v>
      </c>
      <c r="L708" s="627">
        <f>L709</f>
        <v>0</v>
      </c>
      <c r="M708" s="42"/>
      <c r="N708" s="30"/>
    </row>
    <row r="709" spans="1:19" ht="30">
      <c r="A709" s="110" t="s">
        <v>141</v>
      </c>
      <c r="B709" s="26" t="s">
        <v>552</v>
      </c>
      <c r="C709" s="26" t="s">
        <v>53</v>
      </c>
      <c r="D709" s="26" t="s">
        <v>21</v>
      </c>
      <c r="E709" s="26" t="s">
        <v>566</v>
      </c>
      <c r="F709" s="26" t="s">
        <v>142</v>
      </c>
      <c r="G709" s="147"/>
      <c r="H709" s="589"/>
      <c r="I709" s="147"/>
      <c r="J709" s="627">
        <v>0</v>
      </c>
      <c r="K709" s="627"/>
      <c r="L709" s="627">
        <f>J709+K709</f>
        <v>0</v>
      </c>
      <c r="M709" s="42"/>
      <c r="N709" s="30"/>
      <c r="O709" s="11">
        <v>43.5</v>
      </c>
      <c r="P709" s="15">
        <f>K709</f>
        <v>0</v>
      </c>
      <c r="S709" s="156"/>
    </row>
    <row r="710" spans="1:19" ht="45">
      <c r="A710" s="110" t="s">
        <v>565</v>
      </c>
      <c r="B710" s="26" t="s">
        <v>552</v>
      </c>
      <c r="C710" s="26" t="s">
        <v>53</v>
      </c>
      <c r="D710" s="26" t="s">
        <v>21</v>
      </c>
      <c r="E710" s="26" t="s">
        <v>1144</v>
      </c>
      <c r="F710" s="26"/>
      <c r="G710" s="147"/>
      <c r="H710" s="589"/>
      <c r="I710" s="147"/>
      <c r="J710" s="627">
        <f>J711</f>
        <v>43.5</v>
      </c>
      <c r="K710" s="627">
        <f>K711</f>
        <v>0</v>
      </c>
      <c r="L710" s="627">
        <f>L711</f>
        <v>43.5</v>
      </c>
      <c r="M710" s="42"/>
      <c r="N710" s="30"/>
      <c r="P710" s="15"/>
      <c r="S710" s="156"/>
    </row>
    <row r="711" spans="1:19" ht="30">
      <c r="A711" s="110" t="s">
        <v>141</v>
      </c>
      <c r="B711" s="26" t="s">
        <v>552</v>
      </c>
      <c r="C711" s="26" t="s">
        <v>53</v>
      </c>
      <c r="D711" s="26" t="s">
        <v>21</v>
      </c>
      <c r="E711" s="26" t="s">
        <v>1144</v>
      </c>
      <c r="F711" s="26" t="s">
        <v>142</v>
      </c>
      <c r="G711" s="147"/>
      <c r="H711" s="589"/>
      <c r="I711" s="147"/>
      <c r="J711" s="627">
        <v>43.5</v>
      </c>
      <c r="K711" s="627"/>
      <c r="L711" s="627">
        <f>J711+K711</f>
        <v>43.5</v>
      </c>
      <c r="M711" s="42"/>
      <c r="N711" s="30"/>
      <c r="P711" s="15"/>
      <c r="S711" s="156"/>
    </row>
    <row r="712" spans="1:19" ht="29.25">
      <c r="A712" s="109" t="s">
        <v>567</v>
      </c>
      <c r="B712" s="25" t="s">
        <v>552</v>
      </c>
      <c r="C712" s="25" t="s">
        <v>53</v>
      </c>
      <c r="D712" s="25" t="s">
        <v>26</v>
      </c>
      <c r="E712" s="25"/>
      <c r="F712" s="25"/>
      <c r="G712" s="568">
        <f t="shared" ref="G712:L714" si="238">G713</f>
        <v>29</v>
      </c>
      <c r="H712" s="568">
        <f t="shared" si="238"/>
        <v>1780.9</v>
      </c>
      <c r="I712" s="568">
        <f t="shared" si="238"/>
        <v>0</v>
      </c>
      <c r="J712" s="488">
        <f t="shared" si="238"/>
        <v>2112.0513999999998</v>
      </c>
      <c r="K712" s="488">
        <f t="shared" si="238"/>
        <v>56.426000000000002</v>
      </c>
      <c r="L712" s="488">
        <f t="shared" si="238"/>
        <v>2168.4773999999998</v>
      </c>
      <c r="M712" s="42"/>
      <c r="N712" s="30"/>
    </row>
    <row r="713" spans="1:19" ht="45">
      <c r="A713" s="110" t="s">
        <v>529</v>
      </c>
      <c r="B713" s="26" t="s">
        <v>552</v>
      </c>
      <c r="C713" s="26" t="s">
        <v>53</v>
      </c>
      <c r="D713" s="26" t="s">
        <v>26</v>
      </c>
      <c r="E713" s="26" t="s">
        <v>175</v>
      </c>
      <c r="F713" s="26"/>
      <c r="G713" s="147">
        <f t="shared" si="238"/>
        <v>29</v>
      </c>
      <c r="H713" s="147">
        <f t="shared" si="238"/>
        <v>1780.9</v>
      </c>
      <c r="I713" s="147">
        <f t="shared" si="238"/>
        <v>0</v>
      </c>
      <c r="J713" s="627">
        <f t="shared" si="238"/>
        <v>2112.0513999999998</v>
      </c>
      <c r="K713" s="627">
        <f t="shared" si="238"/>
        <v>56.426000000000002</v>
      </c>
      <c r="L713" s="627">
        <f>L714</f>
        <v>2168.4773999999998</v>
      </c>
      <c r="M713" s="42"/>
      <c r="N713" s="30"/>
    </row>
    <row r="714" spans="1:19" ht="30">
      <c r="A714" s="110" t="s">
        <v>145</v>
      </c>
      <c r="B714" s="26" t="s">
        <v>552</v>
      </c>
      <c r="C714" s="26" t="s">
        <v>53</v>
      </c>
      <c r="D714" s="26" t="s">
        <v>26</v>
      </c>
      <c r="E714" s="26" t="s">
        <v>176</v>
      </c>
      <c r="F714" s="26"/>
      <c r="G714" s="147">
        <f t="shared" si="238"/>
        <v>29</v>
      </c>
      <c r="H714" s="147">
        <f t="shared" si="238"/>
        <v>1780.9</v>
      </c>
      <c r="I714" s="147">
        <f t="shared" si="238"/>
        <v>0</v>
      </c>
      <c r="J714" s="627">
        <f t="shared" si="238"/>
        <v>2112.0513999999998</v>
      </c>
      <c r="K714" s="627">
        <f t="shared" si="238"/>
        <v>56.426000000000002</v>
      </c>
      <c r="L714" s="627">
        <f t="shared" si="238"/>
        <v>2168.4773999999998</v>
      </c>
      <c r="M714" s="42"/>
      <c r="N714" s="30"/>
    </row>
    <row r="715" spans="1:19" ht="30">
      <c r="A715" s="110" t="s">
        <v>141</v>
      </c>
      <c r="B715" s="26" t="s">
        <v>552</v>
      </c>
      <c r="C715" s="26" t="s">
        <v>53</v>
      </c>
      <c r="D715" s="26" t="s">
        <v>26</v>
      </c>
      <c r="E715" s="26" t="s">
        <v>176</v>
      </c>
      <c r="F715" s="26" t="s">
        <v>142</v>
      </c>
      <c r="G715" s="147">
        <v>29</v>
      </c>
      <c r="H715" s="589">
        <v>1780.9</v>
      </c>
      <c r="I715" s="147"/>
      <c r="J715" s="627">
        <v>2112.0513999999998</v>
      </c>
      <c r="K715" s="627">
        <f>22.672+7.754+26</f>
        <v>56.426000000000002</v>
      </c>
      <c r="L715" s="627">
        <f>J715+K715</f>
        <v>2168.4773999999998</v>
      </c>
      <c r="M715" s="42"/>
      <c r="N715" s="30"/>
      <c r="P715" s="15"/>
    </row>
    <row r="716" spans="1:19" s="113" customFormat="1" ht="42.75" hidden="1">
      <c r="A716" s="109" t="s">
        <v>530</v>
      </c>
      <c r="B716" s="25" t="s">
        <v>552</v>
      </c>
      <c r="C716" s="25" t="s">
        <v>53</v>
      </c>
      <c r="D716" s="25" t="s">
        <v>30</v>
      </c>
      <c r="E716" s="25"/>
      <c r="F716" s="25"/>
      <c r="G716" s="568">
        <f t="shared" ref="G716:N718" si="239">G717</f>
        <v>29</v>
      </c>
      <c r="H716" s="568">
        <f t="shared" si="239"/>
        <v>1780.9</v>
      </c>
      <c r="I716" s="568">
        <f t="shared" si="239"/>
        <v>0</v>
      </c>
      <c r="J716" s="488">
        <f t="shared" si="239"/>
        <v>0</v>
      </c>
      <c r="K716" s="488">
        <f t="shared" si="239"/>
        <v>0</v>
      </c>
      <c r="L716" s="488">
        <f t="shared" si="239"/>
        <v>0</v>
      </c>
      <c r="M716" s="570">
        <f t="shared" si="239"/>
        <v>-50</v>
      </c>
      <c r="N716" s="96">
        <f t="shared" si="239"/>
        <v>-50</v>
      </c>
    </row>
    <row r="717" spans="1:19" ht="45" hidden="1">
      <c r="A717" s="110" t="s">
        <v>529</v>
      </c>
      <c r="B717" s="26" t="s">
        <v>552</v>
      </c>
      <c r="C717" s="26" t="s">
        <v>53</v>
      </c>
      <c r="D717" s="26" t="s">
        <v>30</v>
      </c>
      <c r="E717" s="26" t="s">
        <v>175</v>
      </c>
      <c r="F717" s="26"/>
      <c r="G717" s="147">
        <f t="shared" si="239"/>
        <v>29</v>
      </c>
      <c r="H717" s="147">
        <f t="shared" si="239"/>
        <v>1780.9</v>
      </c>
      <c r="I717" s="147">
        <f t="shared" si="239"/>
        <v>0</v>
      </c>
      <c r="J717" s="627">
        <f t="shared" si="239"/>
        <v>0</v>
      </c>
      <c r="K717" s="627">
        <f t="shared" si="239"/>
        <v>0</v>
      </c>
      <c r="L717" s="627">
        <f>L718</f>
        <v>0</v>
      </c>
      <c r="M717" s="42">
        <f t="shared" si="239"/>
        <v>-50</v>
      </c>
      <c r="N717" s="43">
        <f>N718</f>
        <v>-50</v>
      </c>
    </row>
    <row r="718" spans="1:19" ht="30" hidden="1">
      <c r="A718" s="110" t="s">
        <v>145</v>
      </c>
      <c r="B718" s="26" t="s">
        <v>552</v>
      </c>
      <c r="C718" s="26" t="s">
        <v>53</v>
      </c>
      <c r="D718" s="26" t="s">
        <v>30</v>
      </c>
      <c r="E718" s="26" t="s">
        <v>176</v>
      </c>
      <c r="F718" s="26"/>
      <c r="G718" s="147">
        <f t="shared" si="239"/>
        <v>29</v>
      </c>
      <c r="H718" s="147">
        <f t="shared" si="239"/>
        <v>1780.9</v>
      </c>
      <c r="I718" s="147">
        <f t="shared" si="239"/>
        <v>0</v>
      </c>
      <c r="J718" s="627">
        <f t="shared" si="239"/>
        <v>0</v>
      </c>
      <c r="K718" s="627">
        <f t="shared" si="239"/>
        <v>0</v>
      </c>
      <c r="L718" s="627">
        <f t="shared" si="239"/>
        <v>0</v>
      </c>
      <c r="M718" s="42">
        <f t="shared" si="239"/>
        <v>-50</v>
      </c>
      <c r="N718" s="43">
        <f t="shared" si="239"/>
        <v>-50</v>
      </c>
    </row>
    <row r="719" spans="1:19" ht="30" hidden="1">
      <c r="A719" s="110" t="s">
        <v>141</v>
      </c>
      <c r="B719" s="26" t="s">
        <v>552</v>
      </c>
      <c r="C719" s="26" t="s">
        <v>53</v>
      </c>
      <c r="D719" s="26" t="s">
        <v>30</v>
      </c>
      <c r="E719" s="26" t="s">
        <v>176</v>
      </c>
      <c r="F719" s="26" t="s">
        <v>142</v>
      </c>
      <c r="G719" s="147">
        <v>29</v>
      </c>
      <c r="H719" s="589">
        <v>1780.9</v>
      </c>
      <c r="I719" s="147"/>
      <c r="J719" s="627"/>
      <c r="K719" s="627"/>
      <c r="L719" s="627">
        <f>J719+K719</f>
        <v>0</v>
      </c>
      <c r="M719" s="48">
        <v>-50</v>
      </c>
      <c r="N719" s="49">
        <f>L719+M719</f>
        <v>-50</v>
      </c>
      <c r="O719" s="44"/>
      <c r="P719" s="97"/>
    </row>
    <row r="720" spans="1:19" ht="29.25" hidden="1">
      <c r="A720" s="33" t="s">
        <v>568</v>
      </c>
      <c r="B720" s="34" t="s">
        <v>552</v>
      </c>
      <c r="C720" s="34" t="s">
        <v>47</v>
      </c>
      <c r="D720" s="26"/>
      <c r="E720" s="26"/>
      <c r="F720" s="26"/>
      <c r="G720" s="147"/>
      <c r="H720" s="589">
        <f t="shared" ref="H720:N720" si="240">H721</f>
        <v>0</v>
      </c>
      <c r="I720" s="589">
        <f t="shared" si="240"/>
        <v>0</v>
      </c>
      <c r="J720" s="381">
        <f t="shared" si="240"/>
        <v>0</v>
      </c>
      <c r="K720" s="381">
        <f t="shared" si="240"/>
        <v>0</v>
      </c>
      <c r="L720" s="381">
        <f t="shared" si="240"/>
        <v>0</v>
      </c>
      <c r="M720" s="168">
        <f t="shared" si="240"/>
        <v>80</v>
      </c>
      <c r="N720" s="49">
        <f t="shared" si="240"/>
        <v>80</v>
      </c>
    </row>
    <row r="721" spans="1:19" s="113" customFormat="1" ht="14.25" hidden="1">
      <c r="A721" s="109" t="s">
        <v>82</v>
      </c>
      <c r="B721" s="25" t="s">
        <v>552</v>
      </c>
      <c r="C721" s="25" t="s">
        <v>47</v>
      </c>
      <c r="D721" s="25" t="s">
        <v>53</v>
      </c>
      <c r="E721" s="25"/>
      <c r="F721" s="25"/>
      <c r="G721" s="568">
        <f t="shared" ref="G721:N723" si="241">G722</f>
        <v>0</v>
      </c>
      <c r="H721" s="568">
        <f t="shared" si="241"/>
        <v>0</v>
      </c>
      <c r="I721" s="568">
        <f t="shared" si="241"/>
        <v>0</v>
      </c>
      <c r="J721" s="488">
        <f t="shared" si="241"/>
        <v>0</v>
      </c>
      <c r="K721" s="488">
        <f t="shared" si="241"/>
        <v>0</v>
      </c>
      <c r="L721" s="488">
        <f t="shared" si="241"/>
        <v>0</v>
      </c>
      <c r="M721" s="570">
        <f>M722</f>
        <v>80</v>
      </c>
      <c r="N721" s="96">
        <f t="shared" si="241"/>
        <v>80</v>
      </c>
    </row>
    <row r="722" spans="1:19" ht="30" hidden="1">
      <c r="A722" s="110" t="s">
        <v>532</v>
      </c>
      <c r="B722" s="26" t="s">
        <v>552</v>
      </c>
      <c r="C722" s="26" t="s">
        <v>47</v>
      </c>
      <c r="D722" s="26" t="s">
        <v>53</v>
      </c>
      <c r="E722" s="26" t="s">
        <v>533</v>
      </c>
      <c r="F722" s="26"/>
      <c r="G722" s="147">
        <f t="shared" si="241"/>
        <v>0</v>
      </c>
      <c r="H722" s="147">
        <f t="shared" si="241"/>
        <v>0</v>
      </c>
      <c r="I722" s="147">
        <f t="shared" si="241"/>
        <v>0</v>
      </c>
      <c r="J722" s="627">
        <f t="shared" si="241"/>
        <v>0</v>
      </c>
      <c r="K722" s="627">
        <f t="shared" si="241"/>
        <v>0</v>
      </c>
      <c r="L722" s="627">
        <f t="shared" si="241"/>
        <v>0</v>
      </c>
      <c r="M722" s="42">
        <f>M723</f>
        <v>80</v>
      </c>
      <c r="N722" s="43">
        <f t="shared" si="241"/>
        <v>80</v>
      </c>
    </row>
    <row r="723" spans="1:19" ht="45" hidden="1">
      <c r="A723" s="110" t="s">
        <v>534</v>
      </c>
      <c r="B723" s="26" t="s">
        <v>552</v>
      </c>
      <c r="C723" s="26" t="s">
        <v>47</v>
      </c>
      <c r="D723" s="26" t="s">
        <v>53</v>
      </c>
      <c r="E723" s="26" t="s">
        <v>535</v>
      </c>
      <c r="F723" s="26"/>
      <c r="G723" s="147">
        <f t="shared" si="241"/>
        <v>0</v>
      </c>
      <c r="H723" s="147">
        <f t="shared" si="241"/>
        <v>0</v>
      </c>
      <c r="I723" s="147">
        <f t="shared" si="241"/>
        <v>0</v>
      </c>
      <c r="J723" s="627">
        <f t="shared" si="241"/>
        <v>0</v>
      </c>
      <c r="K723" s="627">
        <f t="shared" si="241"/>
        <v>0</v>
      </c>
      <c r="L723" s="627">
        <f t="shared" si="241"/>
        <v>0</v>
      </c>
      <c r="M723" s="42">
        <f>M724</f>
        <v>80</v>
      </c>
      <c r="N723" s="43">
        <f t="shared" si="241"/>
        <v>80</v>
      </c>
      <c r="R723" s="156"/>
    </row>
    <row r="724" spans="1:19" ht="30.75" hidden="1" thickBot="1">
      <c r="A724" s="116" t="s">
        <v>135</v>
      </c>
      <c r="B724" s="26" t="s">
        <v>552</v>
      </c>
      <c r="C724" s="26" t="s">
        <v>47</v>
      </c>
      <c r="D724" s="26" t="s">
        <v>53</v>
      </c>
      <c r="E724" s="26" t="s">
        <v>535</v>
      </c>
      <c r="F724" s="26" t="s">
        <v>133</v>
      </c>
      <c r="G724" s="147"/>
      <c r="H724" s="589"/>
      <c r="I724" s="147"/>
      <c r="J724" s="627"/>
      <c r="K724" s="627"/>
      <c r="L724" s="627">
        <f>J724+K724</f>
        <v>0</v>
      </c>
      <c r="M724" s="83">
        <v>80</v>
      </c>
      <c r="N724" s="103">
        <f>L724+M724</f>
        <v>80</v>
      </c>
      <c r="O724" s="44"/>
    </row>
    <row r="725" spans="1:19" ht="15.75" thickBot="1">
      <c r="A725" s="33" t="s">
        <v>82</v>
      </c>
      <c r="B725" s="34" t="s">
        <v>552</v>
      </c>
      <c r="C725" s="34" t="s">
        <v>34</v>
      </c>
      <c r="D725" s="26"/>
      <c r="E725" s="26"/>
      <c r="F725" s="26"/>
      <c r="G725" s="147"/>
      <c r="H725" s="589">
        <f>H726</f>
        <v>0</v>
      </c>
      <c r="I725" s="589">
        <f>I726</f>
        <v>0</v>
      </c>
      <c r="J725" s="381">
        <f>J726</f>
        <v>1278.739</v>
      </c>
      <c r="K725" s="381">
        <f>K726</f>
        <v>0</v>
      </c>
      <c r="L725" s="381">
        <f>L726</f>
        <v>1278.739</v>
      </c>
      <c r="M725" s="193"/>
      <c r="N725" s="190"/>
      <c r="O725" s="44"/>
    </row>
    <row r="726" spans="1:19" ht="15.75" thickBot="1">
      <c r="A726" s="109" t="s">
        <v>323</v>
      </c>
      <c r="B726" s="25" t="s">
        <v>552</v>
      </c>
      <c r="C726" s="25" t="s">
        <v>34</v>
      </c>
      <c r="D726" s="25" t="s">
        <v>21</v>
      </c>
      <c r="E726" s="25"/>
      <c r="F726" s="25"/>
      <c r="G726" s="568">
        <f t="shared" ref="G726:L728" si="242">G727</f>
        <v>0</v>
      </c>
      <c r="H726" s="568">
        <f t="shared" si="242"/>
        <v>0</v>
      </c>
      <c r="I726" s="568">
        <f t="shared" si="242"/>
        <v>0</v>
      </c>
      <c r="J726" s="488">
        <f t="shared" si="242"/>
        <v>1278.739</v>
      </c>
      <c r="K726" s="488">
        <f t="shared" si="242"/>
        <v>0</v>
      </c>
      <c r="L726" s="488">
        <f t="shared" si="242"/>
        <v>1278.739</v>
      </c>
      <c r="M726" s="193"/>
      <c r="N726" s="190"/>
      <c r="O726" s="44"/>
    </row>
    <row r="727" spans="1:19" ht="30.75" thickBot="1">
      <c r="A727" s="110" t="s">
        <v>532</v>
      </c>
      <c r="B727" s="26" t="s">
        <v>552</v>
      </c>
      <c r="C727" s="26" t="s">
        <v>34</v>
      </c>
      <c r="D727" s="26" t="s">
        <v>21</v>
      </c>
      <c r="E727" s="26" t="s">
        <v>533</v>
      </c>
      <c r="F727" s="26"/>
      <c r="G727" s="147">
        <f t="shared" si="242"/>
        <v>0</v>
      </c>
      <c r="H727" s="147">
        <f t="shared" si="242"/>
        <v>0</v>
      </c>
      <c r="I727" s="147">
        <f t="shared" si="242"/>
        <v>0</v>
      </c>
      <c r="J727" s="627">
        <f t="shared" si="242"/>
        <v>1278.739</v>
      </c>
      <c r="K727" s="627">
        <f t="shared" si="242"/>
        <v>0</v>
      </c>
      <c r="L727" s="627">
        <f t="shared" si="242"/>
        <v>1278.739</v>
      </c>
      <c r="M727" s="193"/>
      <c r="N727" s="190"/>
      <c r="O727" s="44"/>
    </row>
    <row r="728" spans="1:19" ht="30.75" thickBot="1">
      <c r="A728" s="110" t="s">
        <v>569</v>
      </c>
      <c r="B728" s="26" t="s">
        <v>552</v>
      </c>
      <c r="C728" s="26" t="s">
        <v>34</v>
      </c>
      <c r="D728" s="26" t="s">
        <v>21</v>
      </c>
      <c r="E728" s="26" t="s">
        <v>535</v>
      </c>
      <c r="F728" s="26"/>
      <c r="G728" s="147">
        <f t="shared" si="242"/>
        <v>0</v>
      </c>
      <c r="H728" s="147">
        <f t="shared" si="242"/>
        <v>0</v>
      </c>
      <c r="I728" s="147">
        <f t="shared" si="242"/>
        <v>0</v>
      </c>
      <c r="J728" s="627">
        <f t="shared" si="242"/>
        <v>1278.739</v>
      </c>
      <c r="K728" s="627">
        <f t="shared" si="242"/>
        <v>0</v>
      </c>
      <c r="L728" s="627">
        <f t="shared" si="242"/>
        <v>1278.739</v>
      </c>
      <c r="M728" s="193"/>
      <c r="N728" s="190"/>
      <c r="O728" s="44"/>
    </row>
    <row r="729" spans="1:19" ht="30.75" thickBot="1">
      <c r="A729" s="110" t="s">
        <v>135</v>
      </c>
      <c r="B729" s="26" t="s">
        <v>552</v>
      </c>
      <c r="C729" s="26" t="s">
        <v>34</v>
      </c>
      <c r="D729" s="26" t="s">
        <v>21</v>
      </c>
      <c r="E729" s="26" t="s">
        <v>535</v>
      </c>
      <c r="F729" s="26" t="s">
        <v>133</v>
      </c>
      <c r="G729" s="147"/>
      <c r="H729" s="589"/>
      <c r="I729" s="147"/>
      <c r="J729" s="627">
        <v>1278.739</v>
      </c>
      <c r="K729" s="627"/>
      <c r="L729" s="627">
        <f>J729+K729</f>
        <v>1278.739</v>
      </c>
      <c r="M729" s="193"/>
      <c r="N729" s="190"/>
      <c r="O729" s="521">
        <f>L682+L487+L245+L246</f>
        <v>659.2</v>
      </c>
      <c r="P729" s="156"/>
      <c r="R729" s="163"/>
      <c r="S729" s="156"/>
    </row>
    <row r="730" spans="1:19" s="179" customFormat="1" ht="13.5" customHeight="1" thickBot="1">
      <c r="A730" s="572" t="s">
        <v>570</v>
      </c>
      <c r="B730" s="573"/>
      <c r="C730" s="573"/>
      <c r="D730" s="573"/>
      <c r="E730" s="573"/>
      <c r="F730" s="574"/>
      <c r="G730" s="575" t="e">
        <f t="shared" ref="G730:N730" si="243">G12+G97+G203+G325+G419+G426+G673</f>
        <v>#REF!</v>
      </c>
      <c r="H730" s="576" t="e">
        <f t="shared" si="243"/>
        <v>#REF!</v>
      </c>
      <c r="I730" s="577" t="e">
        <f t="shared" si="243"/>
        <v>#REF!</v>
      </c>
      <c r="J730" s="636">
        <f t="shared" si="243"/>
        <v>565510.97941999999</v>
      </c>
      <c r="K730" s="637">
        <f t="shared" si="243"/>
        <v>61254.738119999995</v>
      </c>
      <c r="L730" s="638">
        <f t="shared" si="243"/>
        <v>626765.71753999987</v>
      </c>
      <c r="M730" s="347" t="e">
        <f t="shared" si="243"/>
        <v>#REF!</v>
      </c>
      <c r="N730" s="194" t="e">
        <f t="shared" si="243"/>
        <v>#REF!</v>
      </c>
      <c r="O730" s="195"/>
      <c r="P730" s="195"/>
      <c r="S730" s="195"/>
    </row>
    <row r="731" spans="1:19">
      <c r="A731" s="45"/>
      <c r="H731" s="45"/>
      <c r="J731" s="156">
        <f>L730-J730</f>
        <v>61254.738119999878</v>
      </c>
      <c r="L731" s="655">
        <v>626765.71753999998</v>
      </c>
      <c r="N731" s="196">
        <v>372157.62</v>
      </c>
      <c r="Q731" s="15"/>
      <c r="R731" s="45"/>
    </row>
    <row r="732" spans="1:19" ht="15.75" thickBot="1">
      <c r="A732" s="45"/>
      <c r="H732" s="45"/>
      <c r="L732" s="619">
        <f>L731-L730</f>
        <v>0</v>
      </c>
      <c r="N732" s="196" t="e">
        <f>N731-N730</f>
        <v>#REF!</v>
      </c>
      <c r="O732" s="156"/>
      <c r="Q732" s="15"/>
    </row>
    <row r="733" spans="1:19" ht="15.75" thickBot="1">
      <c r="A733" s="45"/>
      <c r="E733" s="11">
        <f>SUM(H734:H744)</f>
        <v>18920.13</v>
      </c>
      <c r="F733" s="197" t="s">
        <v>21</v>
      </c>
      <c r="G733" s="198" t="e">
        <f>G98+G204+G427+G674</f>
        <v>#REF!</v>
      </c>
      <c r="H733" s="198">
        <f>H98+H204+H427+H674</f>
        <v>18920.129999999997</v>
      </c>
      <c r="I733" s="199">
        <f>I98+I204+I427+I674</f>
        <v>0</v>
      </c>
      <c r="J733" s="639">
        <f>J734+J735+J736+J737+J738+J739+J740+J741+J742+J743+J744</f>
        <v>25584.091999999997</v>
      </c>
      <c r="K733" s="640">
        <f>K734+K735+K736+K737+K738+K739+K740+K741+K742+K743+K744</f>
        <v>-515.80600000000004</v>
      </c>
      <c r="L733" s="640">
        <f>L734+L735+L736+L737+L738+L739+L740+L741+L742+L743+L744</f>
        <v>25068.285999999996</v>
      </c>
      <c r="M733" s="200">
        <f>M98+M204+M427+M674</f>
        <v>-833.36</v>
      </c>
      <c r="N733" s="201">
        <f>N98+N204+N427+N674</f>
        <v>22447.900289999998</v>
      </c>
    </row>
    <row r="734" spans="1:19">
      <c r="A734" s="45"/>
      <c r="F734" s="50" t="s">
        <v>571</v>
      </c>
      <c r="G734" s="202">
        <f t="shared" ref="G734:M734" si="244">G428</f>
        <v>0</v>
      </c>
      <c r="H734" s="202">
        <f t="shared" si="244"/>
        <v>861</v>
      </c>
      <c r="I734" s="202">
        <f t="shared" si="244"/>
        <v>0</v>
      </c>
      <c r="J734" s="382">
        <f t="shared" si="244"/>
        <v>1080.095</v>
      </c>
      <c r="K734" s="641">
        <f t="shared" si="244"/>
        <v>0</v>
      </c>
      <c r="L734" s="641">
        <f t="shared" si="244"/>
        <v>1080.095</v>
      </c>
      <c r="M734" s="203">
        <f t="shared" si="244"/>
        <v>0</v>
      </c>
      <c r="N734" s="203">
        <f>N428</f>
        <v>1080.095</v>
      </c>
    </row>
    <row r="735" spans="1:19">
      <c r="A735" s="45"/>
      <c r="F735" s="25" t="s">
        <v>572</v>
      </c>
      <c r="G735" s="568">
        <f>G433</f>
        <v>30</v>
      </c>
      <c r="H735" s="568">
        <f t="shared" ref="H735:N735" si="245">H432</f>
        <v>1353</v>
      </c>
      <c r="I735" s="568">
        <f t="shared" si="245"/>
        <v>0</v>
      </c>
      <c r="J735" s="642">
        <f t="shared" si="245"/>
        <v>1708.9490000000001</v>
      </c>
      <c r="K735" s="488">
        <f t="shared" si="245"/>
        <v>1.722</v>
      </c>
      <c r="L735" s="488">
        <f t="shared" si="245"/>
        <v>1710.671</v>
      </c>
      <c r="M735" s="205">
        <f t="shared" si="245"/>
        <v>0</v>
      </c>
      <c r="N735" s="205">
        <f t="shared" si="245"/>
        <v>1710.671</v>
      </c>
    </row>
    <row r="736" spans="1:19">
      <c r="F736" s="25" t="s">
        <v>573</v>
      </c>
      <c r="G736" s="568" t="e">
        <f t="shared" ref="G736:N736" si="246">G438+G675+G99+G205</f>
        <v>#REF!</v>
      </c>
      <c r="H736" s="206">
        <f t="shared" si="246"/>
        <v>11828.130000000001</v>
      </c>
      <c r="I736" s="206">
        <f t="shared" si="246"/>
        <v>0</v>
      </c>
      <c r="J736" s="642">
        <f t="shared" si="246"/>
        <v>17266.922999999999</v>
      </c>
      <c r="K736" s="642">
        <f t="shared" si="246"/>
        <v>-688.01800000000003</v>
      </c>
      <c r="L736" s="488">
        <f t="shared" si="246"/>
        <v>16578.904999999999</v>
      </c>
      <c r="M736" s="569">
        <f t="shared" si="246"/>
        <v>-216.864</v>
      </c>
      <c r="N736" s="569">
        <f t="shared" si="246"/>
        <v>16362.040999999997</v>
      </c>
    </row>
    <row r="737" spans="5:14">
      <c r="F737" s="25" t="s">
        <v>574</v>
      </c>
      <c r="G737" s="568">
        <f>G449</f>
        <v>0</v>
      </c>
      <c r="H737" s="207">
        <f t="shared" ref="H737:N737" si="247">H451</f>
        <v>0</v>
      </c>
      <c r="I737" s="207">
        <f t="shared" si="247"/>
        <v>0</v>
      </c>
      <c r="J737" s="642">
        <f t="shared" si="247"/>
        <v>0</v>
      </c>
      <c r="K737" s="488">
        <f t="shared" si="247"/>
        <v>0</v>
      </c>
      <c r="L737" s="488">
        <f t="shared" si="247"/>
        <v>0</v>
      </c>
      <c r="M737" s="208">
        <f t="shared" si="247"/>
        <v>0</v>
      </c>
      <c r="N737" s="208">
        <f t="shared" si="247"/>
        <v>0</v>
      </c>
    </row>
    <row r="738" spans="5:14">
      <c r="F738" s="25" t="s">
        <v>575</v>
      </c>
      <c r="G738" s="568">
        <f t="shared" ref="G738:M738" si="248">G214</f>
        <v>412.31000000000006</v>
      </c>
      <c r="H738" s="568">
        <f t="shared" si="248"/>
        <v>2981.6</v>
      </c>
      <c r="I738" s="568">
        <f t="shared" si="248"/>
        <v>0</v>
      </c>
      <c r="J738" s="642">
        <f t="shared" si="248"/>
        <v>3277.306</v>
      </c>
      <c r="K738" s="488">
        <f t="shared" si="248"/>
        <v>44.74</v>
      </c>
      <c r="L738" s="488">
        <f t="shared" si="248"/>
        <v>3322.0459999999998</v>
      </c>
      <c r="M738" s="205">
        <f t="shared" si="248"/>
        <v>-205.49600000000001</v>
      </c>
      <c r="N738" s="569">
        <f>N214</f>
        <v>3116.5499999999997</v>
      </c>
    </row>
    <row r="739" spans="5:14">
      <c r="F739" s="25" t="s">
        <v>576</v>
      </c>
      <c r="G739" s="568">
        <f t="shared" ref="G739:M739" si="249">G454</f>
        <v>0</v>
      </c>
      <c r="H739" s="568">
        <f t="shared" si="249"/>
        <v>20</v>
      </c>
      <c r="I739" s="568">
        <f t="shared" si="249"/>
        <v>0</v>
      </c>
      <c r="J739" s="642">
        <f t="shared" si="249"/>
        <v>164.28899999999999</v>
      </c>
      <c r="K739" s="488">
        <f t="shared" si="249"/>
        <v>-30</v>
      </c>
      <c r="L739" s="488">
        <f t="shared" si="249"/>
        <v>134.28899999999999</v>
      </c>
      <c r="M739" s="205">
        <f t="shared" si="249"/>
        <v>0</v>
      </c>
      <c r="N739" s="569">
        <f>N454</f>
        <v>48.043289999999999</v>
      </c>
    </row>
    <row r="740" spans="5:14" hidden="1">
      <c r="F740" s="209" t="s">
        <v>577</v>
      </c>
      <c r="G740" s="210">
        <f t="shared" ref="G740:M740" si="250">G218</f>
        <v>0</v>
      </c>
      <c r="H740" s="210">
        <f t="shared" si="250"/>
        <v>63</v>
      </c>
      <c r="I740" s="210">
        <f t="shared" si="250"/>
        <v>0</v>
      </c>
      <c r="J740" s="624">
        <f t="shared" si="250"/>
        <v>0</v>
      </c>
      <c r="K740" s="625">
        <f t="shared" si="250"/>
        <v>0</v>
      </c>
      <c r="L740" s="625">
        <f t="shared" si="250"/>
        <v>0</v>
      </c>
      <c r="M740" s="205">
        <f t="shared" si="250"/>
        <v>0</v>
      </c>
      <c r="N740" s="569">
        <f>N218</f>
        <v>0</v>
      </c>
    </row>
    <row r="741" spans="5:14" hidden="1">
      <c r="F741" s="209" t="s">
        <v>577</v>
      </c>
      <c r="G741" s="210"/>
      <c r="H741" s="210"/>
      <c r="I741" s="210"/>
      <c r="J741" s="624">
        <f>J222</f>
        <v>0</v>
      </c>
      <c r="K741" s="624">
        <f>K222</f>
        <v>0</v>
      </c>
      <c r="L741" s="624">
        <f>L222</f>
        <v>0</v>
      </c>
      <c r="M741" s="211">
        <f>M222</f>
        <v>0</v>
      </c>
      <c r="N741" s="211">
        <f>N222</f>
        <v>0</v>
      </c>
    </row>
    <row r="742" spans="5:14" hidden="1">
      <c r="F742" s="25" t="s">
        <v>578</v>
      </c>
      <c r="G742" s="568">
        <f t="shared" ref="G742:M742" si="251">G226</f>
        <v>-233.58</v>
      </c>
      <c r="H742" s="568">
        <f t="shared" si="251"/>
        <v>0</v>
      </c>
      <c r="I742" s="568">
        <f t="shared" si="251"/>
        <v>0</v>
      </c>
      <c r="J742" s="642">
        <f t="shared" si="251"/>
        <v>0</v>
      </c>
      <c r="K742" s="488">
        <f t="shared" si="251"/>
        <v>0</v>
      </c>
      <c r="L742" s="488">
        <f t="shared" si="251"/>
        <v>0</v>
      </c>
      <c r="M742" s="205">
        <f t="shared" si="251"/>
        <v>-323</v>
      </c>
      <c r="N742" s="569">
        <f>N226</f>
        <v>-323</v>
      </c>
    </row>
    <row r="743" spans="5:14">
      <c r="F743" s="25" t="s">
        <v>579</v>
      </c>
      <c r="G743" s="568"/>
      <c r="H743" s="568"/>
      <c r="I743" s="568"/>
      <c r="J743" s="642">
        <f>J460</f>
        <v>2086.5299999999997</v>
      </c>
      <c r="K743" s="642">
        <f>K460</f>
        <v>155.75</v>
      </c>
      <c r="L743" s="642">
        <f>L460</f>
        <v>2242.2799999999997</v>
      </c>
      <c r="M743" s="205"/>
      <c r="N743" s="569"/>
    </row>
    <row r="744" spans="5:14" ht="15.75" thickBot="1">
      <c r="F744" s="212" t="s">
        <v>580</v>
      </c>
      <c r="G744" s="213">
        <f>G230+G470</f>
        <v>-1000</v>
      </c>
      <c r="H744" s="213">
        <f>H230+H470</f>
        <v>1813.4</v>
      </c>
      <c r="I744" s="213">
        <f>I230+I470</f>
        <v>0</v>
      </c>
      <c r="J744" s="643">
        <f>J470</f>
        <v>0</v>
      </c>
      <c r="K744" s="644">
        <f>K470</f>
        <v>0</v>
      </c>
      <c r="L744" s="644">
        <f>L470</f>
        <v>0</v>
      </c>
      <c r="M744" s="216">
        <f>M230+M470</f>
        <v>-88</v>
      </c>
      <c r="N744" s="215">
        <f>N230+N470</f>
        <v>453.5</v>
      </c>
    </row>
    <row r="745" spans="5:14" ht="15.75" thickBot="1">
      <c r="F745" s="217" t="s">
        <v>22</v>
      </c>
      <c r="G745" s="218"/>
      <c r="H745" s="218"/>
      <c r="I745" s="218"/>
      <c r="J745" s="645">
        <f>J746</f>
        <v>541.5</v>
      </c>
      <c r="K745" s="646">
        <f>K746</f>
        <v>0</v>
      </c>
      <c r="L745" s="647">
        <f>L746</f>
        <v>541.5</v>
      </c>
      <c r="M745" s="219"/>
      <c r="N745" s="220"/>
    </row>
    <row r="746" spans="5:14" ht="15.75" thickBot="1">
      <c r="F746" s="221" t="s">
        <v>581</v>
      </c>
      <c r="G746" s="222"/>
      <c r="H746" s="222"/>
      <c r="I746" s="222"/>
      <c r="J746" s="648">
        <f>J231</f>
        <v>541.5</v>
      </c>
      <c r="K746" s="648">
        <f>K231</f>
        <v>0</v>
      </c>
      <c r="L746" s="648">
        <f>L231</f>
        <v>541.5</v>
      </c>
      <c r="M746" s="223"/>
      <c r="N746" s="220"/>
    </row>
    <row r="747" spans="5:14" ht="15.75" thickBot="1">
      <c r="E747" s="11">
        <f>SUM(H748:H749)</f>
        <v>583.70000000000005</v>
      </c>
      <c r="F747" s="197" t="s">
        <v>24</v>
      </c>
      <c r="G747" s="224">
        <f>G476+G420</f>
        <v>0</v>
      </c>
      <c r="H747" s="224">
        <f>H476+H420</f>
        <v>583.70000000000005</v>
      </c>
      <c r="I747" s="224">
        <f>I476+I420</f>
        <v>0</v>
      </c>
      <c r="J747" s="645">
        <f>J748+J749+J750</f>
        <v>790</v>
      </c>
      <c r="K747" s="645">
        <f>K748+K749+K750</f>
        <v>-45</v>
      </c>
      <c r="L747" s="645">
        <f>L748+L749+L750</f>
        <v>745</v>
      </c>
      <c r="M747" s="225">
        <f>M476+M420+M236</f>
        <v>0</v>
      </c>
      <c r="N747" s="226">
        <f>N476+N420+N236</f>
        <v>730</v>
      </c>
    </row>
    <row r="748" spans="5:14">
      <c r="F748" s="50" t="s">
        <v>582</v>
      </c>
      <c r="G748" s="202">
        <f>G421</f>
        <v>0</v>
      </c>
      <c r="H748" s="202">
        <f>H421</f>
        <v>526.1</v>
      </c>
      <c r="I748" s="202">
        <f>I421</f>
        <v>0</v>
      </c>
      <c r="J748" s="382">
        <f>J421+J237</f>
        <v>700</v>
      </c>
      <c r="K748" s="641">
        <f>K421+K237</f>
        <v>0</v>
      </c>
      <c r="L748" s="641">
        <f>L421+L237</f>
        <v>700</v>
      </c>
      <c r="M748" s="51">
        <f>M421+M237</f>
        <v>0</v>
      </c>
      <c r="N748" s="51">
        <f>N421+N237</f>
        <v>700</v>
      </c>
    </row>
    <row r="749" spans="5:14">
      <c r="F749" s="25" t="s">
        <v>583</v>
      </c>
      <c r="G749" s="568">
        <f t="shared" ref="G749:M749" si="252">G477</f>
        <v>0</v>
      </c>
      <c r="H749" s="568">
        <f t="shared" si="252"/>
        <v>57.6</v>
      </c>
      <c r="I749" s="568">
        <f t="shared" si="252"/>
        <v>0</v>
      </c>
      <c r="J749" s="642">
        <f>J477</f>
        <v>75</v>
      </c>
      <c r="K749" s="488">
        <f t="shared" si="252"/>
        <v>-45</v>
      </c>
      <c r="L749" s="488">
        <f t="shared" si="252"/>
        <v>30</v>
      </c>
      <c r="M749" s="216">
        <f t="shared" si="252"/>
        <v>0</v>
      </c>
      <c r="N749" s="215">
        <f>N477</f>
        <v>30</v>
      </c>
    </row>
    <row r="750" spans="5:14" ht="15.75" thickBot="1">
      <c r="F750" s="460" t="s">
        <v>1148</v>
      </c>
      <c r="G750" s="222"/>
      <c r="H750" s="222"/>
      <c r="I750" s="222"/>
      <c r="J750" s="649">
        <f>J481</f>
        <v>15</v>
      </c>
      <c r="K750" s="649">
        <f>K481</f>
        <v>0</v>
      </c>
      <c r="L750" s="649">
        <f>L481</f>
        <v>15</v>
      </c>
      <c r="M750" s="223"/>
      <c r="N750" s="220"/>
    </row>
    <row r="751" spans="5:14">
      <c r="E751" s="11" t="e">
        <f>SUM(H753:H756)</f>
        <v>#REF!</v>
      </c>
      <c r="F751" s="390" t="s">
        <v>26</v>
      </c>
      <c r="G751" s="391" t="e">
        <f>G242+G484</f>
        <v>#REF!</v>
      </c>
      <c r="H751" s="391" t="e">
        <f>H242+H484</f>
        <v>#REF!</v>
      </c>
      <c r="I751" s="391" t="e">
        <f>I242+I484</f>
        <v>#REF!</v>
      </c>
      <c r="J751" s="650">
        <f>J752+J753+J756</f>
        <v>6840.3310000000001</v>
      </c>
      <c r="K751" s="650">
        <f>K752+K753+K756</f>
        <v>2479.0619999999999</v>
      </c>
      <c r="L751" s="650">
        <f t="shared" ref="L751:N751" si="253">L752+L753+L756</f>
        <v>9319.393</v>
      </c>
      <c r="M751" s="461" t="e">
        <f t="shared" si="253"/>
        <v>#REF!</v>
      </c>
      <c r="N751" s="461" t="e">
        <f t="shared" si="253"/>
        <v>#REF!</v>
      </c>
    </row>
    <row r="752" spans="5:14">
      <c r="F752" s="392" t="s">
        <v>1079</v>
      </c>
      <c r="G752" s="568"/>
      <c r="H752" s="568"/>
      <c r="I752" s="568"/>
      <c r="J752" s="381">
        <f>J243+J485+J680</f>
        <v>598.6</v>
      </c>
      <c r="K752" s="381">
        <f>K243+K485+K680</f>
        <v>60.599999999999994</v>
      </c>
      <c r="L752" s="381">
        <f>L243+L485+L680</f>
        <v>659.19999999999993</v>
      </c>
      <c r="M752" s="381" t="e">
        <f>M243+M485+M680</f>
        <v>#REF!</v>
      </c>
      <c r="N752" s="381" t="e">
        <f>N243+N485+N680</f>
        <v>#REF!</v>
      </c>
    </row>
    <row r="753" spans="5:14">
      <c r="F753" s="50" t="s">
        <v>584</v>
      </c>
      <c r="G753" s="202" t="e">
        <f>G243+G488</f>
        <v>#REF!</v>
      </c>
      <c r="H753" s="229" t="e">
        <f>H243+H488</f>
        <v>#REF!</v>
      </c>
      <c r="I753" s="202" t="e">
        <f>I243+I488</f>
        <v>#REF!</v>
      </c>
      <c r="J753" s="641">
        <f>J488</f>
        <v>2599</v>
      </c>
      <c r="K753" s="641">
        <f>K488</f>
        <v>749.63099999999997</v>
      </c>
      <c r="L753" s="641">
        <f>L488</f>
        <v>3348.6309999999999</v>
      </c>
      <c r="M753" s="203" t="e">
        <f>M243+M488</f>
        <v>#REF!</v>
      </c>
      <c r="N753" s="51" t="e">
        <f>N243+N488</f>
        <v>#REF!</v>
      </c>
    </row>
    <row r="754" spans="5:14" hidden="1">
      <c r="F754" s="25" t="s">
        <v>585</v>
      </c>
      <c r="G754" s="222">
        <f t="shared" ref="G754:M754" si="254">G491</f>
        <v>786.5</v>
      </c>
      <c r="H754" s="222">
        <f t="shared" si="254"/>
        <v>0</v>
      </c>
      <c r="I754" s="222">
        <f t="shared" si="254"/>
        <v>0</v>
      </c>
      <c r="J754" s="642">
        <f>J491</f>
        <v>0</v>
      </c>
      <c r="K754" s="488">
        <f t="shared" si="254"/>
        <v>0</v>
      </c>
      <c r="L754" s="488">
        <f t="shared" si="254"/>
        <v>0</v>
      </c>
      <c r="M754" s="223">
        <f t="shared" si="254"/>
        <v>0</v>
      </c>
      <c r="N754" s="220">
        <f>N491</f>
        <v>0</v>
      </c>
    </row>
    <row r="755" spans="5:14" hidden="1">
      <c r="F755" s="221" t="s">
        <v>586</v>
      </c>
      <c r="G755" s="222"/>
      <c r="H755" s="230">
        <f t="shared" ref="H755:N755" si="255">H494</f>
        <v>0</v>
      </c>
      <c r="I755" s="230">
        <f t="shared" si="255"/>
        <v>0</v>
      </c>
      <c r="J755" s="648">
        <f>J494</f>
        <v>0</v>
      </c>
      <c r="K755" s="649">
        <f t="shared" si="255"/>
        <v>0</v>
      </c>
      <c r="L755" s="649">
        <f t="shared" si="255"/>
        <v>0</v>
      </c>
      <c r="M755" s="231">
        <f t="shared" si="255"/>
        <v>0</v>
      </c>
      <c r="N755" s="220">
        <f t="shared" si="255"/>
        <v>0</v>
      </c>
    </row>
    <row r="756" spans="5:14" ht="15.75" thickBot="1">
      <c r="F756" s="212" t="s">
        <v>587</v>
      </c>
      <c r="G756" s="213">
        <f t="shared" ref="G756:N756" si="256">G497+G247</f>
        <v>3300</v>
      </c>
      <c r="H756" s="213">
        <f t="shared" si="256"/>
        <v>2170</v>
      </c>
      <c r="I756" s="213">
        <f t="shared" si="256"/>
        <v>0</v>
      </c>
      <c r="J756" s="643">
        <f t="shared" si="256"/>
        <v>3642.7310000000002</v>
      </c>
      <c r="K756" s="644">
        <f t="shared" si="256"/>
        <v>1668.8309999999999</v>
      </c>
      <c r="L756" s="644">
        <f>L497+L247</f>
        <v>5311.5619999999999</v>
      </c>
      <c r="M756" s="216">
        <f t="shared" si="256"/>
        <v>0</v>
      </c>
      <c r="N756" s="215">
        <f t="shared" si="256"/>
        <v>2400.7950000000001</v>
      </c>
    </row>
    <row r="757" spans="5:14" ht="15.75" thickBot="1">
      <c r="E757" s="11">
        <f>SUM(H758:H761)</f>
        <v>1667</v>
      </c>
      <c r="F757" s="232" t="s">
        <v>28</v>
      </c>
      <c r="G757" s="224">
        <f>G509</f>
        <v>-1048.5</v>
      </c>
      <c r="H757" s="233">
        <f>H509+H256</f>
        <v>1667</v>
      </c>
      <c r="I757" s="233">
        <f>I509+I256</f>
        <v>31353.699999999997</v>
      </c>
      <c r="J757" s="645">
        <f>J758+J759+J760+J761</f>
        <v>25085.642999999996</v>
      </c>
      <c r="K757" s="646">
        <f>K758+K759+K760+K761</f>
        <v>8860.2870000000003</v>
      </c>
      <c r="L757" s="646">
        <f>L758+L759+L760+L761</f>
        <v>33945.929999999993</v>
      </c>
      <c r="M757" s="234">
        <f>M509+M256</f>
        <v>550</v>
      </c>
      <c r="N757" s="234">
        <f>N509+N256</f>
        <v>27926.37</v>
      </c>
    </row>
    <row r="758" spans="5:14">
      <c r="F758" s="50" t="s">
        <v>588</v>
      </c>
      <c r="G758" s="202">
        <f>G511</f>
        <v>-40</v>
      </c>
      <c r="H758" s="235">
        <f>H511+H262</f>
        <v>0</v>
      </c>
      <c r="I758" s="235">
        <f>I511+I262</f>
        <v>31353.699999999997</v>
      </c>
      <c r="J758" s="382">
        <f>J510</f>
        <v>1195.5900000000001</v>
      </c>
      <c r="K758" s="382">
        <f>K510</f>
        <v>124.2</v>
      </c>
      <c r="L758" s="382">
        <f>L510</f>
        <v>1319.7900000000002</v>
      </c>
      <c r="M758" s="236">
        <f>M511+M262</f>
        <v>0</v>
      </c>
      <c r="N758" s="236">
        <f>N511+N262</f>
        <v>1620</v>
      </c>
    </row>
    <row r="759" spans="5:14">
      <c r="F759" s="25" t="s">
        <v>589</v>
      </c>
      <c r="G759" s="568">
        <f t="shared" ref="G759:M759" si="257">G522</f>
        <v>2000</v>
      </c>
      <c r="H759" s="568">
        <f t="shared" si="257"/>
        <v>1667</v>
      </c>
      <c r="I759" s="207">
        <f t="shared" si="257"/>
        <v>0</v>
      </c>
      <c r="J759" s="488">
        <f t="shared" ref="J759:K759" si="258">J522+J257</f>
        <v>21490.052999999996</v>
      </c>
      <c r="K759" s="488">
        <f t="shared" si="258"/>
        <v>8736.0869999999995</v>
      </c>
      <c r="L759" s="488">
        <f>L522+L257</f>
        <v>30226.139999999996</v>
      </c>
      <c r="M759" s="208">
        <f t="shared" si="257"/>
        <v>550</v>
      </c>
      <c r="N759" s="569">
        <f>N522</f>
        <v>25954.98</v>
      </c>
    </row>
    <row r="760" spans="5:14">
      <c r="F760" s="25" t="s">
        <v>590</v>
      </c>
      <c r="G760" s="568">
        <f t="shared" ref="G760:M760" si="259">G557</f>
        <v>-786.5</v>
      </c>
      <c r="H760" s="568">
        <f t="shared" si="259"/>
        <v>0</v>
      </c>
      <c r="I760" s="568">
        <f t="shared" si="259"/>
        <v>0</v>
      </c>
      <c r="J760" s="642">
        <f>J557+J262</f>
        <v>2400</v>
      </c>
      <c r="K760" s="642">
        <f>K557+K262</f>
        <v>0</v>
      </c>
      <c r="L760" s="642">
        <f>L557+L262</f>
        <v>2400</v>
      </c>
      <c r="M760" s="205">
        <f t="shared" si="259"/>
        <v>0</v>
      </c>
      <c r="N760" s="569">
        <f>N557</f>
        <v>280</v>
      </c>
    </row>
    <row r="761" spans="5:14" ht="15.75" thickBot="1">
      <c r="F761" s="212" t="s">
        <v>591</v>
      </c>
      <c r="G761" s="213">
        <f t="shared" ref="G761:M761" si="260">G563</f>
        <v>-2222</v>
      </c>
      <c r="H761" s="213">
        <f t="shared" si="260"/>
        <v>0</v>
      </c>
      <c r="I761" s="213">
        <f t="shared" si="260"/>
        <v>0</v>
      </c>
      <c r="J761" s="643">
        <f>J563</f>
        <v>0</v>
      </c>
      <c r="K761" s="644">
        <f t="shared" si="260"/>
        <v>0</v>
      </c>
      <c r="L761" s="644">
        <f t="shared" si="260"/>
        <v>0</v>
      </c>
      <c r="M761" s="216">
        <f t="shared" si="260"/>
        <v>0</v>
      </c>
      <c r="N761" s="215">
        <f>N563</f>
        <v>0</v>
      </c>
    </row>
    <row r="762" spans="5:14" ht="15.75" thickBot="1">
      <c r="E762" s="108">
        <f>SUM(J763:J767)</f>
        <v>276741.11494999996</v>
      </c>
      <c r="F762" s="197" t="s">
        <v>32</v>
      </c>
      <c r="G762" s="237" t="e">
        <f>G13+G105+G267+G326+G569</f>
        <v>#REF!</v>
      </c>
      <c r="H762" s="237">
        <f>H13+H105+H267+H326+H569</f>
        <v>147822.10999999996</v>
      </c>
      <c r="I762" s="237">
        <f>I13+I105+I267+I326+I569</f>
        <v>0</v>
      </c>
      <c r="J762" s="645">
        <f>J763+J764+J765+J766+J767</f>
        <v>276741.11494999996</v>
      </c>
      <c r="K762" s="646">
        <f>K763+K764+K765+K766+K767</f>
        <v>40143.659</v>
      </c>
      <c r="L762" s="646">
        <f>L763+L764+L765+L766+L767</f>
        <v>316884.77395</v>
      </c>
      <c r="M762" s="226">
        <f>M13+M105+M267+M326+M569+M683</f>
        <v>1156.3000000000002</v>
      </c>
      <c r="N762" s="226">
        <f>N13+N105+N267+N326+N569+N683</f>
        <v>101710.666</v>
      </c>
    </row>
    <row r="763" spans="5:14">
      <c r="F763" s="50" t="s">
        <v>592</v>
      </c>
      <c r="G763" s="202">
        <f>G106</f>
        <v>-926.36</v>
      </c>
      <c r="H763" s="235">
        <f t="shared" ref="H763:N763" si="261">H106+H570</f>
        <v>4401</v>
      </c>
      <c r="I763" s="235">
        <f t="shared" si="261"/>
        <v>0</v>
      </c>
      <c r="J763" s="382">
        <f t="shared" si="261"/>
        <v>920.93299999999999</v>
      </c>
      <c r="K763" s="641">
        <f t="shared" si="261"/>
        <v>0</v>
      </c>
      <c r="L763" s="641">
        <f t="shared" si="261"/>
        <v>920.93299999999999</v>
      </c>
      <c r="M763" s="236">
        <f t="shared" si="261"/>
        <v>805.6</v>
      </c>
      <c r="N763" s="236">
        <f t="shared" si="261"/>
        <v>1726.5329999999999</v>
      </c>
    </row>
    <row r="764" spans="5:14">
      <c r="F764" s="25" t="s">
        <v>593</v>
      </c>
      <c r="G764" s="206" t="e">
        <f>G111+#REF!</f>
        <v>#REF!</v>
      </c>
      <c r="H764" s="206">
        <f>H111</f>
        <v>135780.43999999997</v>
      </c>
      <c r="I764" s="206">
        <f>I111</f>
        <v>0</v>
      </c>
      <c r="J764" s="642">
        <f>J111+J574</f>
        <v>264317.57696999999</v>
      </c>
      <c r="K764" s="488">
        <f>K111+K574</f>
        <v>40411.362999999998</v>
      </c>
      <c r="L764" s="488">
        <f>L111+L574</f>
        <v>304728.93996999995</v>
      </c>
      <c r="M764" s="569">
        <f>M111+M574</f>
        <v>1721.3940000000002</v>
      </c>
      <c r="N764" s="569">
        <f>N111+N574</f>
        <v>65145.932000000001</v>
      </c>
    </row>
    <row r="765" spans="5:14">
      <c r="F765" s="25" t="s">
        <v>594</v>
      </c>
      <c r="G765" s="207" t="e">
        <f t="shared" ref="G765:N765" si="262">G14+G145+G327+G592+G268</f>
        <v>#REF!</v>
      </c>
      <c r="H765" s="206">
        <f t="shared" si="262"/>
        <v>460.3</v>
      </c>
      <c r="I765" s="206">
        <f t="shared" si="262"/>
        <v>0</v>
      </c>
      <c r="J765" s="642">
        <f t="shared" si="262"/>
        <v>796.81</v>
      </c>
      <c r="K765" s="488">
        <f t="shared" si="262"/>
        <v>-328.35</v>
      </c>
      <c r="L765" s="488">
        <f t="shared" si="262"/>
        <v>468.45999999999992</v>
      </c>
      <c r="M765" s="569">
        <f t="shared" si="262"/>
        <v>44.61</v>
      </c>
      <c r="N765" s="569">
        <f t="shared" si="262"/>
        <v>27100.457999999999</v>
      </c>
    </row>
    <row r="766" spans="5:14">
      <c r="F766" s="25" t="s">
        <v>595</v>
      </c>
      <c r="G766" s="568">
        <f>G153+G598</f>
        <v>821</v>
      </c>
      <c r="H766" s="568">
        <f>H153+H598+H333</f>
        <v>665.72</v>
      </c>
      <c r="I766" s="568">
        <f>I153+I598+I333</f>
        <v>0</v>
      </c>
      <c r="J766" s="642">
        <f>J153+J598+J333+J684</f>
        <v>3492.2739999999999</v>
      </c>
      <c r="K766" s="488">
        <f>K153+K598+K333+K684</f>
        <v>2.1649999999999991</v>
      </c>
      <c r="L766" s="488">
        <f>L153+L598+L333+L684</f>
        <v>3494.4389999999999</v>
      </c>
      <c r="M766" s="569">
        <f>M153+M598+M333+M684</f>
        <v>720</v>
      </c>
      <c r="N766" s="569">
        <f>N153+N598+N333+N684</f>
        <v>3563.5</v>
      </c>
    </row>
    <row r="767" spans="5:14" ht="15.75" thickBot="1">
      <c r="F767" s="212" t="s">
        <v>596</v>
      </c>
      <c r="G767" s="213">
        <f t="shared" ref="G767:M767" si="263">G160</f>
        <v>878.1</v>
      </c>
      <c r="H767" s="213">
        <f t="shared" si="263"/>
        <v>6514.65</v>
      </c>
      <c r="I767" s="213">
        <f t="shared" si="263"/>
        <v>0</v>
      </c>
      <c r="J767" s="643">
        <f>J160+J601</f>
        <v>7213.5209800000002</v>
      </c>
      <c r="K767" s="643">
        <f t="shared" ref="K767:L767" si="264">K160+K601</f>
        <v>58.480999999999995</v>
      </c>
      <c r="L767" s="643">
        <f t="shared" si="264"/>
        <v>7272.00198</v>
      </c>
      <c r="M767" s="216">
        <f t="shared" si="263"/>
        <v>-2135.3040000000001</v>
      </c>
      <c r="N767" s="215">
        <f>N160</f>
        <v>4174.2430000000004</v>
      </c>
    </row>
    <row r="768" spans="5:14" ht="15.75" thickBot="1">
      <c r="E768" s="15">
        <f>SUM(J769:J772)</f>
        <v>7280.2768999999989</v>
      </c>
      <c r="F768" s="197" t="s">
        <v>53</v>
      </c>
      <c r="G768" s="224">
        <f>G604+G694</f>
        <v>216.57999999999998</v>
      </c>
      <c r="H768" s="224">
        <f>H604+H694</f>
        <v>6311.15</v>
      </c>
      <c r="I768" s="224">
        <f>I604+I694</f>
        <v>0</v>
      </c>
      <c r="J768" s="645">
        <f>J769+J770+J772+J771</f>
        <v>7280.2768999999989</v>
      </c>
      <c r="K768" s="645">
        <f>K769+K770+K772+K771</f>
        <v>151.43700000000001</v>
      </c>
      <c r="L768" s="645">
        <f>L769+L770+L772+L771</f>
        <v>7431.7138999999997</v>
      </c>
      <c r="M768" s="228">
        <f>M604+M694</f>
        <v>-101</v>
      </c>
      <c r="N768" s="226">
        <f>N604+N694</f>
        <v>4465.6210000000001</v>
      </c>
    </row>
    <row r="769" spans="3:14">
      <c r="F769" s="50" t="s">
        <v>597</v>
      </c>
      <c r="G769" s="202">
        <f>G695</f>
        <v>137.57999999999998</v>
      </c>
      <c r="H769" s="202">
        <f>H695</f>
        <v>3820.25</v>
      </c>
      <c r="I769" s="227">
        <f>I695</f>
        <v>0</v>
      </c>
      <c r="J769" s="641">
        <f>J695+J605+J275</f>
        <v>5038.4884999999995</v>
      </c>
      <c r="K769" s="641">
        <f>K695+K605+K275</f>
        <v>48.010999999999996</v>
      </c>
      <c r="L769" s="641">
        <f>L695+L605+L275</f>
        <v>5086.4994999999999</v>
      </c>
      <c r="M769" s="51">
        <f>M695+M605</f>
        <v>51</v>
      </c>
      <c r="N769" s="51">
        <f>N695+N605</f>
        <v>4617.6210000000001</v>
      </c>
    </row>
    <row r="770" spans="3:14">
      <c r="F770" s="209" t="s">
        <v>598</v>
      </c>
      <c r="G770" s="210">
        <f t="shared" ref="G770:M770" si="265">G611</f>
        <v>0</v>
      </c>
      <c r="H770" s="211">
        <f t="shared" si="265"/>
        <v>666</v>
      </c>
      <c r="I770" s="211">
        <f t="shared" si="265"/>
        <v>0</v>
      </c>
      <c r="J770" s="624">
        <f>J611</f>
        <v>0</v>
      </c>
      <c r="K770" s="624">
        <f>K611</f>
        <v>0</v>
      </c>
      <c r="L770" s="624">
        <f>L611</f>
        <v>0</v>
      </c>
      <c r="M770" s="569">
        <f t="shared" si="265"/>
        <v>20</v>
      </c>
      <c r="N770" s="569">
        <f>N611</f>
        <v>20</v>
      </c>
    </row>
    <row r="771" spans="3:14">
      <c r="F771" s="238" t="s">
        <v>598</v>
      </c>
      <c r="G771" s="239"/>
      <c r="H771" s="240"/>
      <c r="I771" s="240"/>
      <c r="J771" s="651">
        <f>J712+J615</f>
        <v>2241.7883999999999</v>
      </c>
      <c r="K771" s="651">
        <f>K712+K615</f>
        <v>103.426</v>
      </c>
      <c r="L771" s="651">
        <f>L712+L615</f>
        <v>2345.2143999999998</v>
      </c>
      <c r="M771" s="215"/>
      <c r="N771" s="215"/>
    </row>
    <row r="772" spans="3:14" ht="15.75" thickBot="1">
      <c r="F772" s="212" t="s">
        <v>599</v>
      </c>
      <c r="G772" s="213">
        <f t="shared" ref="G772:N772" si="266">G716+G619</f>
        <v>79</v>
      </c>
      <c r="H772" s="214">
        <f t="shared" si="266"/>
        <v>1824.9</v>
      </c>
      <c r="I772" s="214">
        <f t="shared" si="266"/>
        <v>0</v>
      </c>
      <c r="J772" s="643">
        <f t="shared" si="266"/>
        <v>0</v>
      </c>
      <c r="K772" s="644">
        <f t="shared" si="266"/>
        <v>0</v>
      </c>
      <c r="L772" s="644">
        <f t="shared" si="266"/>
        <v>0</v>
      </c>
      <c r="M772" s="215">
        <f t="shared" si="266"/>
        <v>-172</v>
      </c>
      <c r="N772" s="215">
        <f t="shared" si="266"/>
        <v>-172</v>
      </c>
    </row>
    <row r="773" spans="3:14" ht="15.75" thickBot="1">
      <c r="E773" s="11" t="e">
        <f>SUM(H774:H779)</f>
        <v>#REF!</v>
      </c>
      <c r="F773" s="197" t="s">
        <v>47</v>
      </c>
      <c r="G773" s="224" t="e">
        <f>G20+G623</f>
        <v>#REF!</v>
      </c>
      <c r="H773" s="237" t="e">
        <f>H20+H623+H720</f>
        <v>#REF!</v>
      </c>
      <c r="I773" s="237" t="e">
        <f>I20+I623+I720</f>
        <v>#REF!</v>
      </c>
      <c r="J773" s="645">
        <f>J774+J775+J776+J777+J778+J779</f>
        <v>106631.49857</v>
      </c>
      <c r="K773" s="646">
        <f>K774+K775+K776+K777+K778+K779</f>
        <v>850.53611999999976</v>
      </c>
      <c r="L773" s="646">
        <f>L774+L775+L776+L777+L778+L779</f>
        <v>107482.03468999999</v>
      </c>
      <c r="M773" s="241" t="e">
        <f>M20+M623+M720</f>
        <v>#REF!</v>
      </c>
      <c r="N773" s="226" t="e">
        <f>N20+N623+N720</f>
        <v>#REF!</v>
      </c>
    </row>
    <row r="774" spans="3:14">
      <c r="F774" s="50" t="s">
        <v>600</v>
      </c>
      <c r="G774" s="382" t="e">
        <f t="shared" ref="G774:L774" si="267">G21+G283+G624</f>
        <v>#REF!</v>
      </c>
      <c r="H774" s="382" t="e">
        <f t="shared" si="267"/>
        <v>#REF!</v>
      </c>
      <c r="I774" s="382" t="e">
        <f t="shared" si="267"/>
        <v>#REF!</v>
      </c>
      <c r="J774" s="382">
        <f t="shared" si="267"/>
        <v>99770.798569999999</v>
      </c>
      <c r="K774" s="382">
        <f t="shared" si="267"/>
        <v>1027.0721199999998</v>
      </c>
      <c r="L774" s="382">
        <f t="shared" si="267"/>
        <v>100797.87069</v>
      </c>
      <c r="M774" s="203">
        <f>M21</f>
        <v>-1006.6600000000001</v>
      </c>
      <c r="N774" s="51">
        <f>N21</f>
        <v>11268.126</v>
      </c>
    </row>
    <row r="775" spans="3:14">
      <c r="F775" s="25" t="s">
        <v>601</v>
      </c>
      <c r="G775" s="568" t="e">
        <f>G40+G624</f>
        <v>#REF!</v>
      </c>
      <c r="H775" s="568" t="e">
        <f>H40+H624</f>
        <v>#REF!</v>
      </c>
      <c r="I775" s="568" t="e">
        <f>I40+I624</f>
        <v>#REF!</v>
      </c>
      <c r="J775" s="488">
        <f>J40</f>
        <v>5310.8</v>
      </c>
      <c r="K775" s="488">
        <f>K40</f>
        <v>-176.536</v>
      </c>
      <c r="L775" s="488">
        <f>L40</f>
        <v>5134.2640000000001</v>
      </c>
      <c r="M775" s="205" t="e">
        <f>M40+M624</f>
        <v>#REF!</v>
      </c>
      <c r="N775" s="569" t="e">
        <f>N40+N624</f>
        <v>#REF!</v>
      </c>
    </row>
    <row r="776" spans="3:14">
      <c r="F776" s="25" t="s">
        <v>602</v>
      </c>
      <c r="G776" s="568">
        <f t="shared" ref="G776:M776" si="268">G60</f>
        <v>2852</v>
      </c>
      <c r="H776" s="568">
        <f t="shared" si="268"/>
        <v>0</v>
      </c>
      <c r="I776" s="568">
        <f t="shared" si="268"/>
        <v>0</v>
      </c>
      <c r="J776" s="642">
        <f>J60</f>
        <v>749.9</v>
      </c>
      <c r="K776" s="488">
        <f t="shared" si="268"/>
        <v>0</v>
      </c>
      <c r="L776" s="488">
        <f t="shared" si="268"/>
        <v>749.9</v>
      </c>
      <c r="M776" s="205">
        <f t="shared" si="268"/>
        <v>-1.8800000000000026</v>
      </c>
      <c r="N776" s="569">
        <f>N60</f>
        <v>748.02</v>
      </c>
    </row>
    <row r="777" spans="3:14">
      <c r="C777" s="11" t="s">
        <v>603</v>
      </c>
      <c r="F777" s="209" t="s">
        <v>604</v>
      </c>
      <c r="G777" s="210">
        <f>G631</f>
        <v>0</v>
      </c>
      <c r="H777" s="210">
        <f t="shared" ref="H777:N777" si="269">H631+H721</f>
        <v>628.79999999999995</v>
      </c>
      <c r="I777" s="210">
        <f t="shared" si="269"/>
        <v>0</v>
      </c>
      <c r="J777" s="624">
        <f t="shared" si="269"/>
        <v>0</v>
      </c>
      <c r="K777" s="625">
        <f t="shared" si="269"/>
        <v>0</v>
      </c>
      <c r="L777" s="625">
        <f t="shared" si="269"/>
        <v>0</v>
      </c>
      <c r="M777" s="205">
        <f t="shared" si="269"/>
        <v>80</v>
      </c>
      <c r="N777" s="569">
        <f t="shared" si="269"/>
        <v>80</v>
      </c>
    </row>
    <row r="778" spans="3:14">
      <c r="F778" s="238" t="s">
        <v>605</v>
      </c>
      <c r="G778" s="239"/>
      <c r="H778" s="239"/>
      <c r="I778" s="239"/>
      <c r="J778" s="651">
        <f>J65</f>
        <v>800</v>
      </c>
      <c r="K778" s="651">
        <f>K65</f>
        <v>0</v>
      </c>
      <c r="L778" s="651">
        <f>L65</f>
        <v>800</v>
      </c>
      <c r="M778" s="216"/>
      <c r="N778" s="215"/>
    </row>
    <row r="779" spans="3:14" ht="15.75" thickBot="1">
      <c r="F779" s="212" t="s">
        <v>606</v>
      </c>
      <c r="G779" s="213">
        <f t="shared" ref="G779:M779" si="270">G83</f>
        <v>0</v>
      </c>
      <c r="H779" s="213">
        <f t="shared" si="270"/>
        <v>1049.6600000000001</v>
      </c>
      <c r="I779" s="213">
        <f t="shared" si="270"/>
        <v>0</v>
      </c>
      <c r="J779" s="643">
        <f>J83</f>
        <v>0</v>
      </c>
      <c r="K779" s="644">
        <f t="shared" si="270"/>
        <v>0</v>
      </c>
      <c r="L779" s="644">
        <f t="shared" si="270"/>
        <v>0</v>
      </c>
      <c r="M779" s="216">
        <f t="shared" si="270"/>
        <v>33</v>
      </c>
      <c r="N779" s="215">
        <f>N83</f>
        <v>33</v>
      </c>
    </row>
    <row r="780" spans="3:14" ht="15.75" thickBot="1">
      <c r="E780" s="11">
        <f>SUM(H781:H785)</f>
        <v>53413.100000000006</v>
      </c>
      <c r="F780" s="197" t="s">
        <v>85</v>
      </c>
      <c r="G780" s="224" t="e">
        <f>G174+G337+G635</f>
        <v>#REF!</v>
      </c>
      <c r="H780" s="242">
        <f>H174+H337+H635</f>
        <v>53413.100000000006</v>
      </c>
      <c r="I780" s="242">
        <f>I174+I337+I635</f>
        <v>0</v>
      </c>
      <c r="J780" s="645">
        <f>J781+J782+J783+J784+J785</f>
        <v>79634.897999999986</v>
      </c>
      <c r="K780" s="646">
        <f>K781+K782+K783+K784+K785</f>
        <v>8524.2160000000003</v>
      </c>
      <c r="L780" s="646">
        <f>L781+L782+L783+L784+L785</f>
        <v>88159.113999999987</v>
      </c>
      <c r="M780" s="226">
        <f>M174+M337+M635</f>
        <v>225.5</v>
      </c>
      <c r="N780" s="226">
        <f>N174+N337+N635</f>
        <v>56175.376000000004</v>
      </c>
    </row>
    <row r="781" spans="3:14">
      <c r="F781" s="50" t="s">
        <v>607</v>
      </c>
      <c r="G781" s="202" t="e">
        <f t="shared" ref="G781:M781" si="271">G338</f>
        <v>#REF!</v>
      </c>
      <c r="H781" s="202">
        <f t="shared" si="271"/>
        <v>1925.2</v>
      </c>
      <c r="I781" s="202">
        <f t="shared" si="271"/>
        <v>0</v>
      </c>
      <c r="J781" s="382">
        <f>J338</f>
        <v>1593.18</v>
      </c>
      <c r="K781" s="641">
        <f t="shared" si="271"/>
        <v>0</v>
      </c>
      <c r="L781" s="641">
        <f t="shared" si="271"/>
        <v>1593.18</v>
      </c>
      <c r="M781" s="203">
        <f t="shared" si="271"/>
        <v>0</v>
      </c>
      <c r="N781" s="51">
        <f>N338</f>
        <v>83.18</v>
      </c>
    </row>
    <row r="782" spans="3:14">
      <c r="F782" s="25" t="s">
        <v>608</v>
      </c>
      <c r="G782" s="568">
        <f>G345</f>
        <v>6</v>
      </c>
      <c r="H782" s="568">
        <f>H345</f>
        <v>4331.8999999999996</v>
      </c>
      <c r="I782" s="568">
        <f>I345</f>
        <v>0</v>
      </c>
      <c r="J782" s="488">
        <f>J345+J636</f>
        <v>8128.76</v>
      </c>
      <c r="K782" s="488">
        <f>K345+K636</f>
        <v>526.24300000000005</v>
      </c>
      <c r="L782" s="488">
        <f>L345+L636</f>
        <v>8655.0030000000006</v>
      </c>
      <c r="M782" s="205">
        <f>M345</f>
        <v>182.5</v>
      </c>
      <c r="N782" s="569">
        <f>N345</f>
        <v>8262.0600000000013</v>
      </c>
    </row>
    <row r="783" spans="3:14">
      <c r="F783" s="25" t="s">
        <v>609</v>
      </c>
      <c r="G783" s="568">
        <f t="shared" ref="G783:N783" si="272">G639+G355+G175</f>
        <v>-3704.64707</v>
      </c>
      <c r="H783" s="568">
        <f t="shared" si="272"/>
        <v>37803.100000000006</v>
      </c>
      <c r="I783" s="568">
        <f t="shared" si="272"/>
        <v>0</v>
      </c>
      <c r="J783" s="642">
        <f t="shared" si="272"/>
        <v>51725.827999999994</v>
      </c>
      <c r="K783" s="488">
        <f t="shared" si="272"/>
        <v>2067.473</v>
      </c>
      <c r="L783" s="488">
        <f t="shared" si="272"/>
        <v>53793.300999999992</v>
      </c>
      <c r="M783" s="569">
        <f t="shared" si="272"/>
        <v>212</v>
      </c>
      <c r="N783" s="569">
        <f t="shared" si="272"/>
        <v>36659.085999999996</v>
      </c>
    </row>
    <row r="784" spans="3:14">
      <c r="F784" s="212" t="s">
        <v>610</v>
      </c>
      <c r="G784" s="213">
        <f t="shared" ref="G784:M784" si="273">G179</f>
        <v>5261.5429699999995</v>
      </c>
      <c r="H784" s="213">
        <f t="shared" si="273"/>
        <v>8194.8000000000011</v>
      </c>
      <c r="I784" s="213">
        <f t="shared" si="273"/>
        <v>0</v>
      </c>
      <c r="J784" s="643">
        <f>J179</f>
        <v>16193.199999999999</v>
      </c>
      <c r="K784" s="644">
        <f t="shared" si="273"/>
        <v>6006.5</v>
      </c>
      <c r="L784" s="644">
        <f t="shared" si="273"/>
        <v>22199.699999999997</v>
      </c>
      <c r="M784" s="216">
        <f t="shared" si="273"/>
        <v>0</v>
      </c>
      <c r="N784" s="215">
        <f>N179</f>
        <v>9621.2999999999993</v>
      </c>
    </row>
    <row r="785" spans="5:14" ht="15.75" thickBot="1">
      <c r="F785" s="212" t="s">
        <v>611</v>
      </c>
      <c r="G785" s="213">
        <f t="shared" ref="G785:M785" si="274">G407</f>
        <v>75</v>
      </c>
      <c r="H785" s="213">
        <f t="shared" si="274"/>
        <v>1158.1000000000001</v>
      </c>
      <c r="I785" s="213">
        <f t="shared" si="274"/>
        <v>0</v>
      </c>
      <c r="J785" s="643">
        <f>J407</f>
        <v>1993.93</v>
      </c>
      <c r="K785" s="644">
        <f t="shared" si="274"/>
        <v>-76</v>
      </c>
      <c r="L785" s="644">
        <f t="shared" si="274"/>
        <v>1917.93</v>
      </c>
      <c r="M785" s="216">
        <f t="shared" si="274"/>
        <v>-169</v>
      </c>
      <c r="N785" s="215">
        <f>N407</f>
        <v>1549.75</v>
      </c>
    </row>
    <row r="786" spans="5:14" ht="15.75" thickBot="1">
      <c r="E786" s="11" t="e">
        <f>SUM(H787:H790)</f>
        <v>#REF!</v>
      </c>
      <c r="F786" s="197" t="s">
        <v>34</v>
      </c>
      <c r="G786" s="224" t="e">
        <f t="shared" ref="G786:I787" si="275">G286</f>
        <v>#REF!</v>
      </c>
      <c r="H786" s="224" t="e">
        <f t="shared" si="275"/>
        <v>#REF!</v>
      </c>
      <c r="I786" s="224" t="e">
        <f t="shared" si="275"/>
        <v>#REF!</v>
      </c>
      <c r="J786" s="645">
        <f>J787+J788+J789+J790</f>
        <v>0</v>
      </c>
      <c r="K786" s="646">
        <f>K787+K788+K789+K790</f>
        <v>0</v>
      </c>
      <c r="L786" s="646">
        <f>L787+L788+L789+L790</f>
        <v>0</v>
      </c>
      <c r="M786" s="228" t="e">
        <f>M286</f>
        <v>#REF!</v>
      </c>
      <c r="N786" s="226" t="e">
        <f>N286</f>
        <v>#REF!</v>
      </c>
    </row>
    <row r="787" spans="5:14" ht="15.75" hidden="1" thickBot="1">
      <c r="F787" s="50" t="s">
        <v>612</v>
      </c>
      <c r="G787" s="202">
        <f t="shared" si="275"/>
        <v>264</v>
      </c>
      <c r="H787" s="202">
        <f t="shared" si="275"/>
        <v>20914.8</v>
      </c>
      <c r="I787" s="202">
        <f t="shared" si="275"/>
        <v>0</v>
      </c>
      <c r="J787" s="382"/>
      <c r="K787" s="641"/>
      <c r="L787" s="641"/>
      <c r="M787" s="203">
        <f>M287</f>
        <v>8.4</v>
      </c>
      <c r="N787" s="51">
        <f>N287</f>
        <v>87.844000000000008</v>
      </c>
    </row>
    <row r="788" spans="5:14" ht="15.75" hidden="1" thickBot="1">
      <c r="F788" s="25" t="s">
        <v>613</v>
      </c>
      <c r="G788" s="568">
        <f t="shared" ref="G788:M788" si="276">G292</f>
        <v>0</v>
      </c>
      <c r="H788" s="568">
        <f t="shared" si="276"/>
        <v>9363.7999999999993</v>
      </c>
      <c r="I788" s="568">
        <f t="shared" si="276"/>
        <v>0</v>
      </c>
      <c r="J788" s="642"/>
      <c r="K788" s="488"/>
      <c r="L788" s="488"/>
      <c r="M788" s="205">
        <f t="shared" si="276"/>
        <v>-768</v>
      </c>
      <c r="N788" s="569">
        <f>N292</f>
        <v>-768</v>
      </c>
    </row>
    <row r="789" spans="5:14" ht="15.75" hidden="1" thickBot="1">
      <c r="F789" s="25" t="s">
        <v>614</v>
      </c>
      <c r="G789" s="568">
        <f t="shared" ref="G789:M789" si="277">G300</f>
        <v>42.8</v>
      </c>
      <c r="H789" s="568">
        <f t="shared" si="277"/>
        <v>573.70000000000005</v>
      </c>
      <c r="I789" s="568">
        <f t="shared" si="277"/>
        <v>0</v>
      </c>
      <c r="J789" s="642"/>
      <c r="K789" s="488"/>
      <c r="L789" s="488"/>
      <c r="M789" s="205">
        <f t="shared" si="277"/>
        <v>0</v>
      </c>
      <c r="N789" s="569">
        <f>N300</f>
        <v>0</v>
      </c>
    </row>
    <row r="790" spans="5:14" ht="15.75" hidden="1" thickBot="1">
      <c r="F790" s="222">
        <v>1104</v>
      </c>
      <c r="G790" s="222" t="e">
        <f t="shared" ref="G790:M790" si="278">G305</f>
        <v>#REF!</v>
      </c>
      <c r="H790" s="222" t="e">
        <f t="shared" si="278"/>
        <v>#REF!</v>
      </c>
      <c r="I790" s="222" t="e">
        <f t="shared" si="278"/>
        <v>#REF!</v>
      </c>
      <c r="J790" s="648"/>
      <c r="K790" s="649"/>
      <c r="L790" s="649"/>
      <c r="M790" s="223" t="e">
        <f t="shared" si="278"/>
        <v>#REF!</v>
      </c>
      <c r="N790" s="220" t="e">
        <f>N305</f>
        <v>#REF!</v>
      </c>
    </row>
    <row r="791" spans="5:14" ht="15.75" thickBot="1">
      <c r="F791" s="243">
        <v>11</v>
      </c>
      <c r="G791" s="224"/>
      <c r="H791" s="224"/>
      <c r="I791" s="224"/>
      <c r="J791" s="645">
        <f>J792</f>
        <v>1347.183</v>
      </c>
      <c r="K791" s="645">
        <f>K792</f>
        <v>11</v>
      </c>
      <c r="L791" s="652">
        <f>L792</f>
        <v>1358.183</v>
      </c>
      <c r="M791" s="219"/>
      <c r="N791" s="220"/>
    </row>
    <row r="792" spans="5:14" ht="15.75" thickBot="1">
      <c r="F792" s="222">
        <v>1101</v>
      </c>
      <c r="G792" s="222"/>
      <c r="H792" s="222"/>
      <c r="I792" s="222"/>
      <c r="J792" s="648">
        <f>J726+J287</f>
        <v>1347.183</v>
      </c>
      <c r="K792" s="648">
        <f>K726+K287</f>
        <v>11</v>
      </c>
      <c r="L792" s="648">
        <f>L726+L287</f>
        <v>1358.183</v>
      </c>
      <c r="M792" s="219"/>
      <c r="N792" s="220"/>
    </row>
    <row r="793" spans="5:14" ht="15.75" thickBot="1">
      <c r="F793" s="244">
        <v>12</v>
      </c>
      <c r="G793" s="224"/>
      <c r="H793" s="224"/>
      <c r="I793" s="224"/>
      <c r="J793" s="645">
        <f>J794+J795+J796+J797</f>
        <v>955.1</v>
      </c>
      <c r="K793" s="645">
        <f>K794+K795+K796+K797</f>
        <v>11.621</v>
      </c>
      <c r="L793" s="652">
        <f>L794+L795+L796+L797</f>
        <v>966.721</v>
      </c>
      <c r="M793" s="219"/>
      <c r="N793" s="220"/>
    </row>
    <row r="794" spans="5:14" hidden="1">
      <c r="F794" s="202">
        <v>1201</v>
      </c>
      <c r="G794" s="202"/>
      <c r="H794" s="202"/>
      <c r="I794" s="202"/>
      <c r="J794" s="382"/>
      <c r="K794" s="641"/>
      <c r="L794" s="641"/>
      <c r="M794" s="223"/>
      <c r="N794" s="220"/>
    </row>
    <row r="795" spans="5:14" ht="15.75" thickBot="1">
      <c r="F795" s="568">
        <v>1202</v>
      </c>
      <c r="G795" s="568"/>
      <c r="H795" s="568"/>
      <c r="I795" s="568"/>
      <c r="J795" s="642">
        <f>J669</f>
        <v>955.1</v>
      </c>
      <c r="K795" s="642">
        <f>K669</f>
        <v>11.621</v>
      </c>
      <c r="L795" s="642">
        <f>L669</f>
        <v>966.721</v>
      </c>
      <c r="M795" s="223"/>
      <c r="N795" s="220"/>
    </row>
    <row r="796" spans="5:14" ht="15.75" hidden="1" thickBot="1">
      <c r="F796" s="568">
        <v>1203</v>
      </c>
      <c r="G796" s="568"/>
      <c r="H796" s="568"/>
      <c r="I796" s="568"/>
      <c r="J796" s="642"/>
      <c r="K796" s="488"/>
      <c r="L796" s="488"/>
      <c r="M796" s="223"/>
      <c r="N796" s="220"/>
    </row>
    <row r="797" spans="5:14" ht="15.75" hidden="1" thickBot="1">
      <c r="F797" s="213">
        <v>1204</v>
      </c>
      <c r="G797" s="213"/>
      <c r="H797" s="213"/>
      <c r="I797" s="213"/>
      <c r="J797" s="643"/>
      <c r="K797" s="644"/>
      <c r="L797" s="644"/>
      <c r="M797" s="223"/>
      <c r="N797" s="220"/>
    </row>
    <row r="798" spans="5:14" ht="15.75" thickBot="1">
      <c r="F798" s="244">
        <v>13</v>
      </c>
      <c r="G798" s="224"/>
      <c r="H798" s="224"/>
      <c r="I798" s="224"/>
      <c r="J798" s="645">
        <f>J799+J800</f>
        <v>162.07</v>
      </c>
      <c r="K798" s="645">
        <f>K799+K800</f>
        <v>0</v>
      </c>
      <c r="L798" s="645">
        <f>L799+L800</f>
        <v>162.07</v>
      </c>
      <c r="M798" s="219"/>
      <c r="N798" s="220"/>
    </row>
    <row r="799" spans="5:14">
      <c r="F799" s="202">
        <v>1301</v>
      </c>
      <c r="G799" s="202"/>
      <c r="H799" s="202"/>
      <c r="I799" s="202"/>
      <c r="J799" s="382">
        <f>J305</f>
        <v>162.07</v>
      </c>
      <c r="K799" s="382">
        <f>K305</f>
        <v>0</v>
      </c>
      <c r="L799" s="382">
        <f>L305</f>
        <v>162.07</v>
      </c>
      <c r="M799" s="223"/>
      <c r="N799" s="220"/>
    </row>
    <row r="800" spans="5:14" ht="15.75" thickBot="1">
      <c r="F800" s="213">
        <v>1302</v>
      </c>
      <c r="G800" s="213"/>
      <c r="H800" s="213"/>
      <c r="I800" s="213"/>
      <c r="J800" s="643"/>
      <c r="K800" s="644"/>
      <c r="L800" s="644"/>
      <c r="M800" s="223"/>
      <c r="N800" s="220"/>
    </row>
    <row r="801" spans="6:14" ht="15.75" thickBot="1">
      <c r="F801" s="244">
        <v>14</v>
      </c>
      <c r="G801" s="224"/>
      <c r="H801" s="224"/>
      <c r="I801" s="224"/>
      <c r="J801" s="645">
        <f>J802+J803+J804</f>
        <v>33917.271999999997</v>
      </c>
      <c r="K801" s="645">
        <f>K802+K803+K804</f>
        <v>783.726</v>
      </c>
      <c r="L801" s="645">
        <f>L802+L803+L804</f>
        <v>34700.998</v>
      </c>
      <c r="M801" s="219"/>
      <c r="N801" s="220"/>
    </row>
    <row r="802" spans="6:14">
      <c r="F802" s="202">
        <v>1401</v>
      </c>
      <c r="G802" s="202"/>
      <c r="H802" s="202"/>
      <c r="I802" s="202"/>
      <c r="J802" s="382">
        <f>J309</f>
        <v>25131.671999999999</v>
      </c>
      <c r="K802" s="382">
        <f>K309</f>
        <v>0</v>
      </c>
      <c r="L802" s="382">
        <f>L309</f>
        <v>25131.671999999999</v>
      </c>
      <c r="M802" s="223"/>
      <c r="N802" s="220"/>
    </row>
    <row r="803" spans="6:14" hidden="1">
      <c r="F803" s="568">
        <v>1402</v>
      </c>
      <c r="G803" s="568"/>
      <c r="H803" s="568"/>
      <c r="I803" s="568"/>
      <c r="J803" s="642"/>
      <c r="K803" s="488"/>
      <c r="L803" s="488"/>
      <c r="M803" s="223"/>
      <c r="N803" s="220"/>
    </row>
    <row r="804" spans="6:14" ht="15.75" thickBot="1">
      <c r="F804" s="213">
        <v>1403</v>
      </c>
      <c r="G804" s="213"/>
      <c r="H804" s="213"/>
      <c r="I804" s="213"/>
      <c r="J804" s="643">
        <f>J317</f>
        <v>8785.6</v>
      </c>
      <c r="K804" s="643">
        <f>K317</f>
        <v>783.726</v>
      </c>
      <c r="L804" s="643">
        <f>L317</f>
        <v>9569.3260000000009</v>
      </c>
      <c r="M804" s="223"/>
      <c r="N804" s="220"/>
    </row>
    <row r="805" spans="6:14" ht="15.75" thickBot="1">
      <c r="F805" s="245" t="s">
        <v>615</v>
      </c>
      <c r="G805" s="237" t="e">
        <f>G733+G747+G751+G757+G762+G768+G773+G780+G786</f>
        <v>#REF!</v>
      </c>
      <c r="H805" s="237" t="e">
        <f>H733+H747+H751+H757+H762+H768+H773+H780+H786</f>
        <v>#REF!</v>
      </c>
      <c r="I805" s="237" t="e">
        <f>I733+I747+I751+I757+I762+I768+I773+I780+I786</f>
        <v>#REF!</v>
      </c>
      <c r="J805" s="653">
        <f>J733+J747+J751+J757+J762+J768+J773+J780+J786+J793+J798+J801+J791+J745</f>
        <v>565510.97941999987</v>
      </c>
      <c r="K805" s="653">
        <f>K733+K747+K751+K757+K762+K768+K773+K780+K786+K793+K798+K801+K791+K745</f>
        <v>61254.738119999995</v>
      </c>
      <c r="L805" s="653">
        <f>L733+L747+L751+L757+L762+L768+L773+L780+L786+L793+L798+L801+L791+L745</f>
        <v>626765.71753999987</v>
      </c>
      <c r="M805" s="242" t="e">
        <f>M733+M747+M751+M757+M762+M768+M773+M780+M786+M793+M798+M801+M791</f>
        <v>#REF!</v>
      </c>
      <c r="N805" s="242" t="e">
        <f>N733+N747+N751+N757+N762+N768+N773+N780+N786+N793+N798+N801+N791</f>
        <v>#REF!</v>
      </c>
    </row>
    <row r="806" spans="6:14">
      <c r="F806" s="246"/>
      <c r="G806" s="113"/>
      <c r="I806" s="113"/>
      <c r="J806" s="156">
        <f>J805-J730</f>
        <v>0</v>
      </c>
      <c r="K806" s="654"/>
      <c r="M806" s="247"/>
    </row>
    <row r="807" spans="6:14">
      <c r="F807" s="246"/>
      <c r="G807" s="113"/>
      <c r="I807" s="113"/>
      <c r="K807" s="654">
        <f>K805-K730</f>
        <v>0</v>
      </c>
      <c r="M807" s="247"/>
    </row>
    <row r="808" spans="6:14">
      <c r="F808" s="246"/>
      <c r="G808" s="113"/>
      <c r="I808" s="113"/>
      <c r="K808" s="654"/>
      <c r="M808" s="247"/>
    </row>
    <row r="809" spans="6:14">
      <c r="F809" s="246"/>
      <c r="G809" s="113"/>
      <c r="I809" s="113"/>
      <c r="K809" s="654"/>
      <c r="M809" s="247"/>
    </row>
    <row r="810" spans="6:14">
      <c r="F810" s="246"/>
      <c r="G810" s="113"/>
      <c r="I810" s="113"/>
      <c r="K810" s="654"/>
      <c r="M810" s="247"/>
    </row>
    <row r="811" spans="6:14">
      <c r="F811" s="246"/>
      <c r="G811" s="113"/>
      <c r="I811" s="113"/>
      <c r="K811" s="654"/>
      <c r="M811" s="247"/>
    </row>
    <row r="812" spans="6:14">
      <c r="F812" s="246"/>
      <c r="G812" s="113"/>
      <c r="I812" s="113"/>
      <c r="K812" s="654"/>
      <c r="M812" s="247"/>
      <c r="N812" s="11"/>
    </row>
    <row r="813" spans="6:14">
      <c r="G813" s="113"/>
      <c r="I813" s="113"/>
      <c r="K813" s="654"/>
      <c r="M813" s="247"/>
      <c r="N813" s="11"/>
    </row>
    <row r="814" spans="6:14">
      <c r="G814" s="113"/>
      <c r="I814" s="113"/>
      <c r="K814" s="654"/>
      <c r="M814" s="247"/>
      <c r="N814" s="11"/>
    </row>
    <row r="815" spans="6:14">
      <c r="G815" s="113"/>
      <c r="I815" s="113"/>
      <c r="K815" s="654"/>
      <c r="M815" s="247"/>
      <c r="N815" s="11"/>
    </row>
    <row r="816" spans="6:14">
      <c r="G816" s="113"/>
      <c r="I816" s="113"/>
      <c r="K816" s="654"/>
      <c r="M816" s="247"/>
      <c r="N816" s="11"/>
    </row>
    <row r="817" spans="7:14">
      <c r="G817" s="113"/>
      <c r="I817" s="113"/>
      <c r="K817" s="654"/>
      <c r="M817" s="247"/>
      <c r="N817" s="11"/>
    </row>
    <row r="818" spans="7:14">
      <c r="G818" s="113"/>
      <c r="I818" s="113"/>
      <c r="K818" s="654"/>
      <c r="M818" s="247"/>
      <c r="N818" s="11"/>
    </row>
    <row r="819" spans="7:14">
      <c r="G819" s="113"/>
      <c r="I819" s="113"/>
      <c r="K819" s="654"/>
      <c r="M819" s="247"/>
      <c r="N819" s="11"/>
    </row>
    <row r="820" spans="7:14">
      <c r="G820" s="113"/>
      <c r="I820" s="113"/>
      <c r="K820" s="654"/>
      <c r="M820" s="247"/>
      <c r="N820" s="11"/>
    </row>
    <row r="821" spans="7:14">
      <c r="G821" s="113"/>
      <c r="I821" s="113"/>
      <c r="K821" s="654"/>
      <c r="M821" s="247"/>
      <c r="N821" s="11"/>
    </row>
    <row r="822" spans="7:14">
      <c r="G822" s="113"/>
      <c r="I822" s="113"/>
      <c r="K822" s="654"/>
      <c r="M822" s="247"/>
      <c r="N822" s="11"/>
    </row>
    <row r="823" spans="7:14">
      <c r="G823" s="113"/>
      <c r="I823" s="113"/>
      <c r="K823" s="654"/>
      <c r="M823" s="247"/>
      <c r="N823" s="11"/>
    </row>
    <row r="824" spans="7:14">
      <c r="G824" s="113"/>
      <c r="I824" s="113"/>
      <c r="K824" s="654"/>
      <c r="M824" s="247"/>
      <c r="N824" s="11"/>
    </row>
    <row r="825" spans="7:14">
      <c r="G825" s="113"/>
      <c r="I825" s="113"/>
      <c r="K825" s="654"/>
      <c r="M825" s="247"/>
      <c r="N825" s="11"/>
    </row>
    <row r="826" spans="7:14">
      <c r="G826" s="113"/>
      <c r="I826" s="113"/>
      <c r="K826" s="654"/>
      <c r="M826" s="247"/>
      <c r="N826" s="11"/>
    </row>
    <row r="827" spans="7:14">
      <c r="G827" s="113"/>
      <c r="I827" s="113"/>
      <c r="K827" s="654"/>
      <c r="M827" s="247"/>
      <c r="N827" s="11"/>
    </row>
    <row r="828" spans="7:14">
      <c r="G828" s="113"/>
      <c r="I828" s="113"/>
      <c r="K828" s="654"/>
      <c r="M828" s="247"/>
      <c r="N828" s="11"/>
    </row>
    <row r="829" spans="7:14">
      <c r="G829" s="113"/>
      <c r="I829" s="113"/>
      <c r="K829" s="654"/>
      <c r="M829" s="247"/>
      <c r="N829" s="11"/>
    </row>
    <row r="830" spans="7:14">
      <c r="G830" s="113"/>
      <c r="I830" s="113"/>
      <c r="K830" s="654"/>
      <c r="M830" s="247"/>
      <c r="N830" s="11"/>
    </row>
    <row r="831" spans="7:14">
      <c r="G831" s="113"/>
      <c r="I831" s="113"/>
      <c r="K831" s="654"/>
      <c r="M831" s="247"/>
      <c r="N831" s="11"/>
    </row>
    <row r="832" spans="7:14">
      <c r="G832" s="113"/>
      <c r="I832" s="113"/>
      <c r="K832" s="654"/>
      <c r="M832" s="247"/>
      <c r="N832" s="11"/>
    </row>
    <row r="833" spans="7:14">
      <c r="G833" s="113"/>
      <c r="I833" s="113"/>
      <c r="K833" s="654"/>
      <c r="M833" s="247"/>
      <c r="N833" s="11"/>
    </row>
    <row r="834" spans="7:14">
      <c r="G834" s="113"/>
      <c r="I834" s="113"/>
      <c r="K834" s="654"/>
      <c r="M834" s="247"/>
      <c r="N834" s="11"/>
    </row>
    <row r="835" spans="7:14">
      <c r="G835" s="113"/>
      <c r="I835" s="113"/>
      <c r="K835" s="654"/>
      <c r="M835" s="247"/>
      <c r="N835" s="11"/>
    </row>
    <row r="836" spans="7:14">
      <c r="G836" s="113"/>
      <c r="I836" s="113"/>
      <c r="K836" s="654"/>
      <c r="M836" s="247"/>
      <c r="N836" s="11"/>
    </row>
    <row r="837" spans="7:14">
      <c r="G837" s="113"/>
      <c r="I837" s="113"/>
      <c r="K837" s="654"/>
      <c r="M837" s="247"/>
      <c r="N837" s="11"/>
    </row>
    <row r="838" spans="7:14">
      <c r="G838" s="113"/>
      <c r="I838" s="113"/>
      <c r="K838" s="654"/>
      <c r="M838" s="247"/>
      <c r="N838" s="11"/>
    </row>
    <row r="839" spans="7:14">
      <c r="G839" s="113"/>
      <c r="I839" s="113"/>
      <c r="K839" s="654"/>
      <c r="M839" s="247"/>
      <c r="N839" s="11"/>
    </row>
    <row r="840" spans="7:14">
      <c r="G840" s="113"/>
      <c r="I840" s="113"/>
      <c r="K840" s="654"/>
      <c r="M840" s="247"/>
      <c r="N840" s="11"/>
    </row>
    <row r="841" spans="7:14">
      <c r="G841" s="113"/>
      <c r="I841" s="113"/>
      <c r="K841" s="654"/>
      <c r="M841" s="247"/>
      <c r="N841" s="11"/>
    </row>
    <row r="842" spans="7:14">
      <c r="G842" s="113"/>
      <c r="I842" s="113"/>
      <c r="K842" s="654"/>
      <c r="M842" s="247"/>
      <c r="N842" s="11"/>
    </row>
    <row r="843" spans="7:14">
      <c r="G843" s="113"/>
      <c r="I843" s="113"/>
      <c r="K843" s="654"/>
      <c r="M843" s="247"/>
      <c r="N843" s="11"/>
    </row>
    <row r="844" spans="7:14">
      <c r="G844" s="113"/>
      <c r="I844" s="113"/>
      <c r="K844" s="654"/>
      <c r="M844" s="247"/>
      <c r="N844" s="11"/>
    </row>
    <row r="845" spans="7:14">
      <c r="G845" s="113"/>
      <c r="I845" s="113"/>
      <c r="K845" s="654"/>
      <c r="M845" s="247"/>
      <c r="N845" s="11"/>
    </row>
    <row r="846" spans="7:14">
      <c r="G846" s="113"/>
      <c r="I846" s="113"/>
      <c r="K846" s="654"/>
      <c r="M846" s="247"/>
      <c r="N846" s="11"/>
    </row>
    <row r="847" spans="7:14">
      <c r="G847" s="113"/>
      <c r="I847" s="113"/>
      <c r="K847" s="654"/>
      <c r="M847" s="247"/>
      <c r="N847" s="11"/>
    </row>
    <row r="848" spans="7:14">
      <c r="G848" s="113"/>
      <c r="I848" s="113"/>
      <c r="K848" s="654"/>
      <c r="M848" s="247"/>
      <c r="N848" s="11"/>
    </row>
    <row r="849" spans="7:14">
      <c r="G849" s="113"/>
      <c r="I849" s="113"/>
      <c r="K849" s="654"/>
      <c r="M849" s="247"/>
      <c r="N849" s="11"/>
    </row>
    <row r="850" spans="7:14">
      <c r="G850" s="113"/>
      <c r="I850" s="113"/>
      <c r="K850" s="654"/>
      <c r="M850" s="247"/>
      <c r="N850" s="11"/>
    </row>
    <row r="851" spans="7:14">
      <c r="G851" s="113"/>
      <c r="I851" s="113"/>
      <c r="K851" s="654"/>
      <c r="M851" s="247"/>
      <c r="N851" s="11"/>
    </row>
    <row r="852" spans="7:14">
      <c r="G852" s="113"/>
      <c r="I852" s="113"/>
      <c r="K852" s="654"/>
      <c r="M852" s="247"/>
      <c r="N852" s="11"/>
    </row>
    <row r="853" spans="7:14">
      <c r="G853" s="113"/>
      <c r="I853" s="113"/>
      <c r="K853" s="654"/>
      <c r="M853" s="247"/>
      <c r="N853" s="11"/>
    </row>
    <row r="854" spans="7:14">
      <c r="G854" s="113"/>
      <c r="I854" s="113"/>
      <c r="K854" s="654"/>
      <c r="M854" s="247"/>
      <c r="N854" s="11"/>
    </row>
    <row r="855" spans="7:14">
      <c r="G855" s="113"/>
      <c r="I855" s="113"/>
      <c r="K855" s="654"/>
      <c r="M855" s="247"/>
      <c r="N855" s="11"/>
    </row>
    <row r="856" spans="7:14">
      <c r="G856" s="113"/>
      <c r="I856" s="113"/>
      <c r="K856" s="654"/>
      <c r="M856" s="247"/>
      <c r="N856" s="11"/>
    </row>
    <row r="857" spans="7:14">
      <c r="G857" s="113"/>
      <c r="I857" s="113"/>
      <c r="K857" s="654"/>
      <c r="M857" s="247"/>
      <c r="N857" s="11"/>
    </row>
    <row r="858" spans="7:14">
      <c r="G858" s="113"/>
      <c r="I858" s="113"/>
      <c r="K858" s="654"/>
      <c r="M858" s="247"/>
      <c r="N858" s="11"/>
    </row>
    <row r="859" spans="7:14">
      <c r="G859" s="113"/>
      <c r="I859" s="113"/>
      <c r="K859" s="654"/>
      <c r="M859" s="247"/>
      <c r="N859" s="11"/>
    </row>
    <row r="860" spans="7:14">
      <c r="G860" s="113"/>
      <c r="I860" s="113"/>
      <c r="K860" s="654"/>
      <c r="M860" s="247"/>
      <c r="N860" s="11"/>
    </row>
    <row r="861" spans="7:14">
      <c r="G861" s="113"/>
      <c r="I861" s="113"/>
      <c r="K861" s="654"/>
      <c r="M861" s="247"/>
      <c r="N861" s="11"/>
    </row>
    <row r="862" spans="7:14">
      <c r="G862" s="113"/>
      <c r="I862" s="113"/>
      <c r="K862" s="654"/>
      <c r="M862" s="247"/>
      <c r="N862" s="11"/>
    </row>
    <row r="863" spans="7:14">
      <c r="G863" s="113"/>
      <c r="I863" s="113"/>
      <c r="K863" s="654"/>
      <c r="M863" s="247"/>
      <c r="N863" s="11"/>
    </row>
    <row r="864" spans="7:14">
      <c r="G864" s="113"/>
      <c r="I864" s="113"/>
      <c r="K864" s="654"/>
      <c r="M864" s="247"/>
      <c r="N864" s="11"/>
    </row>
    <row r="865" spans="7:14">
      <c r="G865" s="113"/>
      <c r="I865" s="113"/>
      <c r="K865" s="654"/>
      <c r="M865" s="247"/>
      <c r="N865" s="11"/>
    </row>
    <row r="866" spans="7:14">
      <c r="G866" s="113"/>
      <c r="I866" s="113"/>
      <c r="K866" s="654"/>
      <c r="M866" s="247"/>
      <c r="N866" s="11"/>
    </row>
    <row r="867" spans="7:14">
      <c r="G867" s="113"/>
      <c r="I867" s="113"/>
      <c r="K867" s="654"/>
      <c r="M867" s="247"/>
      <c r="N867" s="11"/>
    </row>
    <row r="868" spans="7:14">
      <c r="G868" s="113"/>
      <c r="I868" s="113"/>
      <c r="K868" s="654"/>
      <c r="M868" s="247"/>
      <c r="N868" s="11"/>
    </row>
    <row r="869" spans="7:14">
      <c r="G869" s="113"/>
      <c r="I869" s="113"/>
      <c r="K869" s="654"/>
      <c r="M869" s="247"/>
      <c r="N869" s="11"/>
    </row>
    <row r="870" spans="7:14">
      <c r="G870" s="113"/>
      <c r="I870" s="113"/>
      <c r="K870" s="654"/>
      <c r="M870" s="247"/>
      <c r="N870" s="11"/>
    </row>
    <row r="871" spans="7:14">
      <c r="G871" s="113"/>
      <c r="I871" s="113"/>
      <c r="K871" s="654"/>
      <c r="M871" s="247"/>
      <c r="N871" s="11"/>
    </row>
    <row r="872" spans="7:14">
      <c r="G872" s="113"/>
      <c r="I872" s="113"/>
      <c r="K872" s="654"/>
      <c r="M872" s="247"/>
      <c r="N872" s="11"/>
    </row>
    <row r="873" spans="7:14">
      <c r="G873" s="113"/>
      <c r="I873" s="113"/>
      <c r="K873" s="654"/>
      <c r="M873" s="247"/>
      <c r="N873" s="11"/>
    </row>
    <row r="874" spans="7:14">
      <c r="G874" s="113"/>
      <c r="I874" s="113"/>
      <c r="K874" s="654"/>
      <c r="M874" s="247"/>
      <c r="N874" s="11"/>
    </row>
    <row r="875" spans="7:14">
      <c r="G875" s="113"/>
      <c r="I875" s="113"/>
      <c r="K875" s="654"/>
      <c r="M875" s="247"/>
      <c r="N875" s="11"/>
    </row>
    <row r="876" spans="7:14">
      <c r="G876" s="113"/>
      <c r="I876" s="113"/>
      <c r="K876" s="654"/>
      <c r="M876" s="247"/>
      <c r="N876" s="11"/>
    </row>
    <row r="877" spans="7:14">
      <c r="G877" s="113"/>
      <c r="I877" s="113"/>
      <c r="K877" s="654"/>
      <c r="M877" s="247"/>
      <c r="N877" s="11"/>
    </row>
    <row r="878" spans="7:14">
      <c r="G878" s="113"/>
      <c r="I878" s="113"/>
      <c r="K878" s="654"/>
      <c r="M878" s="247"/>
      <c r="N878" s="11"/>
    </row>
    <row r="879" spans="7:14">
      <c r="G879" s="113"/>
      <c r="I879" s="113"/>
      <c r="K879" s="654"/>
      <c r="M879" s="247"/>
      <c r="N879" s="11"/>
    </row>
    <row r="880" spans="7:14">
      <c r="G880" s="113"/>
      <c r="I880" s="113"/>
      <c r="K880" s="654"/>
      <c r="M880" s="247"/>
      <c r="N880" s="11"/>
    </row>
    <row r="881" spans="7:14">
      <c r="G881" s="113"/>
      <c r="I881" s="113"/>
      <c r="K881" s="654"/>
      <c r="M881" s="247"/>
      <c r="N881" s="11"/>
    </row>
    <row r="882" spans="7:14">
      <c r="G882" s="113"/>
      <c r="I882" s="113"/>
      <c r="K882" s="654"/>
      <c r="M882" s="247"/>
      <c r="N882" s="11"/>
    </row>
    <row r="883" spans="7:14">
      <c r="G883" s="113"/>
      <c r="I883" s="113"/>
      <c r="K883" s="654"/>
      <c r="M883" s="247"/>
      <c r="N883" s="11"/>
    </row>
    <row r="884" spans="7:14">
      <c r="G884" s="113"/>
      <c r="I884" s="113"/>
      <c r="K884" s="654"/>
      <c r="M884" s="247"/>
      <c r="N884" s="11"/>
    </row>
    <row r="885" spans="7:14">
      <c r="G885" s="113"/>
      <c r="I885" s="113"/>
      <c r="K885" s="654"/>
      <c r="M885" s="247"/>
      <c r="N885" s="11"/>
    </row>
    <row r="886" spans="7:14">
      <c r="G886" s="113"/>
      <c r="I886" s="113"/>
      <c r="K886" s="654"/>
      <c r="M886" s="247"/>
      <c r="N886" s="11"/>
    </row>
    <row r="887" spans="7:14">
      <c r="G887" s="113"/>
      <c r="I887" s="113"/>
      <c r="K887" s="654"/>
      <c r="M887" s="247"/>
      <c r="N887" s="11"/>
    </row>
    <row r="888" spans="7:14">
      <c r="G888" s="113"/>
      <c r="I888" s="113"/>
      <c r="K888" s="654"/>
      <c r="M888" s="247"/>
      <c r="N888" s="11"/>
    </row>
    <row r="889" spans="7:14">
      <c r="G889" s="113"/>
      <c r="I889" s="113"/>
      <c r="K889" s="654"/>
      <c r="M889" s="247"/>
      <c r="N889" s="11"/>
    </row>
    <row r="890" spans="7:14">
      <c r="G890" s="113"/>
      <c r="I890" s="113"/>
      <c r="K890" s="654"/>
      <c r="M890" s="247"/>
      <c r="N890" s="11"/>
    </row>
    <row r="891" spans="7:14">
      <c r="G891" s="113"/>
      <c r="I891" s="113"/>
      <c r="K891" s="654"/>
      <c r="M891" s="247"/>
      <c r="N891" s="11"/>
    </row>
    <row r="892" spans="7:14">
      <c r="G892" s="113"/>
      <c r="I892" s="113"/>
      <c r="K892" s="654"/>
      <c r="M892" s="247"/>
      <c r="N892" s="11"/>
    </row>
    <row r="893" spans="7:14">
      <c r="G893" s="113"/>
      <c r="I893" s="113"/>
      <c r="K893" s="654"/>
      <c r="M893" s="247"/>
      <c r="N893" s="11"/>
    </row>
    <row r="894" spans="7:14">
      <c r="G894" s="113"/>
      <c r="I894" s="113"/>
      <c r="K894" s="654"/>
      <c r="M894" s="247"/>
      <c r="N894" s="11"/>
    </row>
    <row r="895" spans="7:14">
      <c r="G895" s="113"/>
      <c r="I895" s="113"/>
      <c r="K895" s="654"/>
      <c r="M895" s="247"/>
      <c r="N895" s="11"/>
    </row>
    <row r="896" spans="7:14">
      <c r="G896" s="113"/>
      <c r="I896" s="113"/>
      <c r="K896" s="654"/>
      <c r="M896" s="247"/>
      <c r="N896" s="11"/>
    </row>
    <row r="897" spans="7:14">
      <c r="G897" s="113"/>
      <c r="I897" s="113"/>
      <c r="K897" s="654"/>
      <c r="M897" s="247"/>
      <c r="N897" s="11"/>
    </row>
    <row r="898" spans="7:14">
      <c r="G898" s="113"/>
      <c r="I898" s="113"/>
      <c r="K898" s="654"/>
      <c r="M898" s="247"/>
      <c r="N898" s="11"/>
    </row>
    <row r="899" spans="7:14">
      <c r="G899" s="113"/>
      <c r="I899" s="113"/>
      <c r="K899" s="654"/>
      <c r="M899" s="247"/>
      <c r="N899" s="11"/>
    </row>
    <row r="900" spans="7:14">
      <c r="G900" s="113"/>
      <c r="I900" s="113"/>
      <c r="K900" s="654"/>
      <c r="M900" s="247"/>
      <c r="N900" s="11"/>
    </row>
    <row r="901" spans="7:14">
      <c r="G901" s="113"/>
      <c r="I901" s="113"/>
      <c r="K901" s="654"/>
      <c r="M901" s="247"/>
      <c r="N901" s="11"/>
    </row>
    <row r="902" spans="7:14">
      <c r="G902" s="113"/>
      <c r="I902" s="113"/>
      <c r="K902" s="654"/>
      <c r="M902" s="247"/>
      <c r="N902" s="11"/>
    </row>
    <row r="903" spans="7:14">
      <c r="G903" s="113"/>
      <c r="I903" s="113"/>
      <c r="K903" s="654"/>
      <c r="M903" s="247"/>
      <c r="N903" s="11"/>
    </row>
    <row r="904" spans="7:14">
      <c r="G904" s="113"/>
      <c r="I904" s="113"/>
      <c r="K904" s="654"/>
      <c r="M904" s="247"/>
      <c r="N904" s="11"/>
    </row>
    <row r="905" spans="7:14">
      <c r="G905" s="113"/>
      <c r="I905" s="113"/>
      <c r="K905" s="654"/>
      <c r="M905" s="247"/>
      <c r="N905" s="11"/>
    </row>
    <row r="906" spans="7:14">
      <c r="G906" s="113"/>
      <c r="I906" s="113"/>
      <c r="K906" s="654"/>
      <c r="M906" s="247"/>
      <c r="N906" s="11"/>
    </row>
    <row r="907" spans="7:14">
      <c r="G907" s="113"/>
      <c r="I907" s="113"/>
      <c r="K907" s="654"/>
      <c r="M907" s="247"/>
      <c r="N907" s="11"/>
    </row>
    <row r="908" spans="7:14">
      <c r="G908" s="113"/>
      <c r="I908" s="113"/>
      <c r="K908" s="654"/>
      <c r="M908" s="247"/>
      <c r="N908" s="11"/>
    </row>
    <row r="909" spans="7:14">
      <c r="G909" s="113"/>
      <c r="I909" s="113"/>
      <c r="K909" s="654"/>
      <c r="M909" s="247"/>
      <c r="N909" s="11"/>
    </row>
    <row r="910" spans="7:14">
      <c r="G910" s="113"/>
      <c r="I910" s="113"/>
      <c r="K910" s="654"/>
      <c r="M910" s="247"/>
      <c r="N910" s="11"/>
    </row>
    <row r="911" spans="7:14">
      <c r="G911" s="113"/>
      <c r="I911" s="113"/>
      <c r="K911" s="654"/>
      <c r="M911" s="247"/>
      <c r="N911" s="11"/>
    </row>
    <row r="912" spans="7:14">
      <c r="G912" s="113"/>
      <c r="I912" s="113"/>
      <c r="K912" s="654"/>
      <c r="M912" s="247"/>
      <c r="N912" s="11"/>
    </row>
    <row r="913" spans="7:14">
      <c r="G913" s="113"/>
      <c r="I913" s="113"/>
      <c r="K913" s="654"/>
      <c r="M913" s="247"/>
      <c r="N913" s="11"/>
    </row>
    <row r="914" spans="7:14">
      <c r="G914" s="113"/>
      <c r="I914" s="113"/>
      <c r="K914" s="654"/>
      <c r="M914" s="247"/>
      <c r="N914" s="11"/>
    </row>
    <row r="915" spans="7:14">
      <c r="G915" s="113"/>
      <c r="I915" s="113"/>
      <c r="K915" s="654"/>
      <c r="M915" s="247"/>
      <c r="N915" s="11"/>
    </row>
    <row r="916" spans="7:14">
      <c r="G916" s="113"/>
      <c r="I916" s="113"/>
      <c r="K916" s="654"/>
      <c r="M916" s="247"/>
      <c r="N916" s="11"/>
    </row>
    <row r="917" spans="7:14">
      <c r="G917" s="113"/>
      <c r="I917" s="113"/>
      <c r="K917" s="654"/>
      <c r="M917" s="247"/>
      <c r="N917" s="11"/>
    </row>
    <row r="918" spans="7:14">
      <c r="G918" s="113"/>
      <c r="I918" s="113"/>
      <c r="K918" s="654"/>
      <c r="M918" s="247"/>
      <c r="N918" s="11"/>
    </row>
    <row r="919" spans="7:14">
      <c r="G919" s="113"/>
      <c r="I919" s="113"/>
      <c r="K919" s="654"/>
      <c r="M919" s="247"/>
      <c r="N919" s="11"/>
    </row>
    <row r="920" spans="7:14">
      <c r="G920" s="113"/>
      <c r="I920" s="113"/>
      <c r="K920" s="654"/>
      <c r="M920" s="247"/>
      <c r="N920" s="11"/>
    </row>
    <row r="921" spans="7:14">
      <c r="G921" s="113"/>
      <c r="I921" s="113"/>
      <c r="K921" s="654"/>
      <c r="M921" s="247"/>
      <c r="N921" s="11"/>
    </row>
    <row r="922" spans="7:14">
      <c r="G922" s="113"/>
      <c r="I922" s="113"/>
      <c r="K922" s="654"/>
      <c r="M922" s="247"/>
      <c r="N922" s="11"/>
    </row>
    <row r="923" spans="7:14">
      <c r="G923" s="113"/>
      <c r="I923" s="113"/>
      <c r="K923" s="654"/>
      <c r="M923" s="247"/>
      <c r="N923" s="11"/>
    </row>
    <row r="924" spans="7:14">
      <c r="G924" s="113"/>
      <c r="I924" s="113"/>
      <c r="K924" s="654"/>
      <c r="M924" s="247"/>
      <c r="N924" s="11"/>
    </row>
    <row r="925" spans="7:14">
      <c r="G925" s="113"/>
      <c r="I925" s="113"/>
      <c r="K925" s="654"/>
      <c r="M925" s="247"/>
      <c r="N925" s="11"/>
    </row>
    <row r="926" spans="7:14">
      <c r="G926" s="113"/>
      <c r="I926" s="113"/>
      <c r="K926" s="654"/>
      <c r="M926" s="247"/>
      <c r="N926" s="11"/>
    </row>
    <row r="927" spans="7:14">
      <c r="G927" s="113"/>
      <c r="I927" s="113"/>
      <c r="K927" s="654"/>
      <c r="M927" s="247"/>
      <c r="N927" s="11"/>
    </row>
    <row r="928" spans="7:14">
      <c r="G928" s="113"/>
      <c r="I928" s="113"/>
      <c r="K928" s="654"/>
      <c r="M928" s="247"/>
      <c r="N928" s="11"/>
    </row>
    <row r="929" spans="7:14">
      <c r="G929" s="113"/>
      <c r="I929" s="113"/>
      <c r="K929" s="654"/>
      <c r="M929" s="247"/>
      <c r="N929" s="11"/>
    </row>
    <row r="930" spans="7:14">
      <c r="G930" s="113"/>
      <c r="I930" s="113"/>
      <c r="K930" s="654"/>
      <c r="M930" s="247"/>
      <c r="N930" s="11"/>
    </row>
    <row r="931" spans="7:14">
      <c r="G931" s="113"/>
      <c r="I931" s="113"/>
      <c r="K931" s="654"/>
      <c r="M931" s="247"/>
      <c r="N931" s="11"/>
    </row>
    <row r="932" spans="7:14">
      <c r="G932" s="113"/>
      <c r="I932" s="113"/>
      <c r="K932" s="654"/>
      <c r="M932" s="247"/>
      <c r="N932" s="11"/>
    </row>
    <row r="933" spans="7:14">
      <c r="G933" s="113"/>
      <c r="I933" s="113"/>
      <c r="K933" s="654"/>
      <c r="M933" s="247"/>
      <c r="N933" s="11"/>
    </row>
    <row r="934" spans="7:14">
      <c r="G934" s="113"/>
      <c r="I934" s="113"/>
      <c r="K934" s="654"/>
      <c r="M934" s="247"/>
      <c r="N934" s="11"/>
    </row>
    <row r="935" spans="7:14">
      <c r="G935" s="113"/>
      <c r="I935" s="113"/>
      <c r="K935" s="654"/>
      <c r="M935" s="247"/>
      <c r="N935" s="11"/>
    </row>
    <row r="936" spans="7:14">
      <c r="G936" s="113"/>
      <c r="I936" s="113"/>
      <c r="K936" s="654"/>
      <c r="M936" s="247"/>
      <c r="N936" s="11"/>
    </row>
    <row r="937" spans="7:14">
      <c r="G937" s="113"/>
      <c r="I937" s="113"/>
      <c r="K937" s="654"/>
      <c r="M937" s="247"/>
      <c r="N937" s="11"/>
    </row>
    <row r="938" spans="7:14">
      <c r="G938" s="113"/>
      <c r="I938" s="113"/>
      <c r="K938" s="654"/>
      <c r="M938" s="247"/>
      <c r="N938" s="11"/>
    </row>
    <row r="939" spans="7:14">
      <c r="G939" s="113"/>
      <c r="I939" s="113"/>
      <c r="K939" s="654"/>
      <c r="M939" s="247"/>
      <c r="N939" s="11"/>
    </row>
    <row r="940" spans="7:14">
      <c r="G940" s="113"/>
      <c r="I940" s="113"/>
      <c r="K940" s="654"/>
      <c r="M940" s="247"/>
      <c r="N940" s="11"/>
    </row>
    <row r="941" spans="7:14">
      <c r="G941" s="113"/>
      <c r="I941" s="113"/>
      <c r="K941" s="654"/>
      <c r="M941" s="247"/>
      <c r="N941" s="11"/>
    </row>
    <row r="942" spans="7:14">
      <c r="G942" s="113"/>
      <c r="I942" s="113"/>
      <c r="K942" s="654"/>
      <c r="M942" s="247"/>
      <c r="N942" s="11"/>
    </row>
    <row r="943" spans="7:14">
      <c r="G943" s="113"/>
      <c r="I943" s="113"/>
      <c r="K943" s="654"/>
      <c r="M943" s="247"/>
      <c r="N943" s="11"/>
    </row>
    <row r="944" spans="7:14">
      <c r="G944" s="113"/>
      <c r="I944" s="113"/>
      <c r="K944" s="654"/>
      <c r="M944" s="247"/>
      <c r="N944" s="11"/>
    </row>
    <row r="945" spans="7:14">
      <c r="G945" s="113"/>
      <c r="I945" s="113"/>
      <c r="K945" s="654"/>
      <c r="M945" s="247"/>
      <c r="N945" s="11"/>
    </row>
    <row r="946" spans="7:14">
      <c r="G946" s="113"/>
      <c r="I946" s="113"/>
      <c r="K946" s="654"/>
      <c r="M946" s="247"/>
      <c r="N946" s="11"/>
    </row>
    <row r="947" spans="7:14">
      <c r="G947" s="113"/>
      <c r="I947" s="113"/>
      <c r="K947" s="654"/>
      <c r="M947" s="247"/>
      <c r="N947" s="11"/>
    </row>
    <row r="948" spans="7:14">
      <c r="G948" s="113"/>
      <c r="I948" s="113"/>
      <c r="K948" s="654"/>
      <c r="M948" s="247"/>
      <c r="N948" s="11"/>
    </row>
    <row r="949" spans="7:14">
      <c r="G949" s="113"/>
      <c r="I949" s="113"/>
      <c r="K949" s="654"/>
      <c r="M949" s="247"/>
      <c r="N949" s="11"/>
    </row>
    <row r="950" spans="7:14">
      <c r="G950" s="113"/>
      <c r="I950" s="113"/>
      <c r="K950" s="654"/>
      <c r="M950" s="247"/>
      <c r="N950" s="11"/>
    </row>
    <row r="951" spans="7:14">
      <c r="G951" s="113"/>
      <c r="I951" s="113"/>
      <c r="K951" s="654"/>
      <c r="M951" s="247"/>
      <c r="N951" s="11"/>
    </row>
    <row r="952" spans="7:14">
      <c r="G952" s="113"/>
      <c r="I952" s="113"/>
      <c r="K952" s="654"/>
      <c r="M952" s="247"/>
      <c r="N952" s="11"/>
    </row>
    <row r="953" spans="7:14">
      <c r="G953" s="113"/>
      <c r="I953" s="113"/>
      <c r="K953" s="654"/>
      <c r="M953" s="247"/>
      <c r="N953" s="11"/>
    </row>
    <row r="954" spans="7:14">
      <c r="G954" s="113"/>
      <c r="I954" s="113"/>
      <c r="K954" s="654"/>
      <c r="M954" s="247"/>
      <c r="N954" s="11"/>
    </row>
    <row r="955" spans="7:14">
      <c r="G955" s="113"/>
      <c r="I955" s="113"/>
      <c r="K955" s="654"/>
      <c r="M955" s="247"/>
      <c r="N955" s="11"/>
    </row>
    <row r="956" spans="7:14">
      <c r="G956" s="113"/>
      <c r="I956" s="113"/>
      <c r="K956" s="654"/>
      <c r="M956" s="247"/>
      <c r="N956" s="11"/>
    </row>
    <row r="957" spans="7:14">
      <c r="G957" s="113"/>
      <c r="I957" s="113"/>
      <c r="K957" s="654"/>
      <c r="M957" s="247"/>
      <c r="N957" s="11"/>
    </row>
    <row r="958" spans="7:14">
      <c r="G958" s="113"/>
      <c r="I958" s="113"/>
      <c r="K958" s="654"/>
      <c r="M958" s="247"/>
      <c r="N958" s="11"/>
    </row>
    <row r="959" spans="7:14">
      <c r="G959" s="113"/>
      <c r="I959" s="113"/>
      <c r="K959" s="654"/>
      <c r="M959" s="247"/>
      <c r="N959" s="11"/>
    </row>
    <row r="960" spans="7:14">
      <c r="G960" s="113"/>
      <c r="I960" s="113"/>
      <c r="K960" s="654"/>
      <c r="M960" s="247"/>
      <c r="N960" s="11"/>
    </row>
    <row r="961" spans="7:14">
      <c r="G961" s="113"/>
      <c r="I961" s="113"/>
      <c r="K961" s="654"/>
      <c r="M961" s="247"/>
      <c r="N961" s="11"/>
    </row>
    <row r="962" spans="7:14">
      <c r="G962" s="113"/>
      <c r="I962" s="113"/>
      <c r="K962" s="654"/>
      <c r="M962" s="247"/>
      <c r="N962" s="11"/>
    </row>
    <row r="963" spans="7:14">
      <c r="G963" s="113"/>
      <c r="I963" s="113"/>
      <c r="K963" s="654"/>
      <c r="M963" s="247"/>
      <c r="N963" s="11"/>
    </row>
    <row r="964" spans="7:14">
      <c r="G964" s="113"/>
      <c r="I964" s="113"/>
      <c r="K964" s="654"/>
      <c r="M964" s="247"/>
      <c r="N964" s="11"/>
    </row>
    <row r="965" spans="7:14">
      <c r="G965" s="113"/>
      <c r="I965" s="113"/>
      <c r="K965" s="654"/>
      <c r="M965" s="247"/>
      <c r="N965" s="11"/>
    </row>
    <row r="966" spans="7:14">
      <c r="G966" s="113"/>
      <c r="I966" s="113"/>
      <c r="K966" s="654"/>
      <c r="M966" s="247"/>
      <c r="N966" s="11"/>
    </row>
    <row r="967" spans="7:14">
      <c r="G967" s="113"/>
      <c r="I967" s="113"/>
      <c r="K967" s="654"/>
      <c r="M967" s="247"/>
      <c r="N967" s="11"/>
    </row>
    <row r="968" spans="7:14">
      <c r="G968" s="113"/>
      <c r="I968" s="113"/>
      <c r="K968" s="654"/>
      <c r="M968" s="247"/>
      <c r="N968" s="11"/>
    </row>
    <row r="969" spans="7:14">
      <c r="G969" s="113"/>
      <c r="I969" s="113"/>
      <c r="K969" s="654"/>
      <c r="M969" s="247"/>
      <c r="N969" s="11"/>
    </row>
    <row r="970" spans="7:14">
      <c r="G970" s="113"/>
      <c r="I970" s="113"/>
      <c r="K970" s="654"/>
      <c r="M970" s="247"/>
      <c r="N970" s="11"/>
    </row>
    <row r="971" spans="7:14">
      <c r="G971" s="113"/>
      <c r="I971" s="113"/>
      <c r="K971" s="654"/>
      <c r="M971" s="247"/>
      <c r="N971" s="11"/>
    </row>
    <row r="972" spans="7:14">
      <c r="G972" s="113"/>
      <c r="I972" s="113"/>
      <c r="K972" s="654"/>
      <c r="M972" s="247"/>
      <c r="N972" s="11"/>
    </row>
    <row r="973" spans="7:14">
      <c r="G973" s="113"/>
      <c r="I973" s="113"/>
      <c r="K973" s="654"/>
      <c r="M973" s="247"/>
      <c r="N973" s="11"/>
    </row>
    <row r="974" spans="7:14">
      <c r="G974" s="113"/>
      <c r="I974" s="113"/>
      <c r="K974" s="654"/>
      <c r="M974" s="247"/>
      <c r="N974" s="11"/>
    </row>
    <row r="975" spans="7:14">
      <c r="G975" s="113"/>
      <c r="I975" s="113"/>
      <c r="K975" s="654"/>
      <c r="M975" s="247"/>
      <c r="N975" s="11"/>
    </row>
    <row r="976" spans="7:14">
      <c r="G976" s="113"/>
      <c r="I976" s="113"/>
      <c r="K976" s="654"/>
      <c r="M976" s="247"/>
      <c r="N976" s="11"/>
    </row>
    <row r="977" spans="7:14">
      <c r="G977" s="113"/>
      <c r="I977" s="113"/>
      <c r="K977" s="654"/>
      <c r="M977" s="247"/>
      <c r="N977" s="11"/>
    </row>
    <row r="978" spans="7:14">
      <c r="G978" s="113"/>
      <c r="I978" s="113"/>
      <c r="K978" s="654"/>
      <c r="M978" s="247"/>
      <c r="N978" s="11"/>
    </row>
    <row r="979" spans="7:14">
      <c r="G979" s="113"/>
      <c r="I979" s="113"/>
      <c r="K979" s="654"/>
      <c r="M979" s="247"/>
      <c r="N979" s="11"/>
    </row>
    <row r="980" spans="7:14">
      <c r="G980" s="113"/>
      <c r="I980" s="113"/>
      <c r="K980" s="654"/>
      <c r="M980" s="247"/>
      <c r="N980" s="11"/>
    </row>
    <row r="981" spans="7:14">
      <c r="G981" s="113"/>
      <c r="I981" s="113"/>
      <c r="K981" s="654"/>
      <c r="M981" s="247"/>
      <c r="N981" s="11"/>
    </row>
    <row r="982" spans="7:14">
      <c r="G982" s="113"/>
      <c r="I982" s="113"/>
      <c r="K982" s="654"/>
      <c r="M982" s="247"/>
      <c r="N982" s="11"/>
    </row>
    <row r="983" spans="7:14">
      <c r="G983" s="113"/>
      <c r="I983" s="113"/>
      <c r="K983" s="654"/>
      <c r="M983" s="247"/>
      <c r="N983" s="11"/>
    </row>
    <row r="984" spans="7:14">
      <c r="G984" s="113"/>
      <c r="I984" s="113"/>
      <c r="K984" s="654"/>
      <c r="M984" s="247"/>
      <c r="N984" s="11"/>
    </row>
    <row r="985" spans="7:14">
      <c r="G985" s="113"/>
      <c r="I985" s="113"/>
      <c r="K985" s="654"/>
      <c r="M985" s="247"/>
      <c r="N985" s="11"/>
    </row>
    <row r="986" spans="7:14">
      <c r="G986" s="113"/>
      <c r="I986" s="113"/>
      <c r="K986" s="654"/>
      <c r="M986" s="247"/>
      <c r="N986" s="11"/>
    </row>
    <row r="987" spans="7:14">
      <c r="G987" s="113"/>
      <c r="I987" s="113"/>
      <c r="K987" s="654"/>
      <c r="M987" s="247"/>
      <c r="N987" s="11"/>
    </row>
    <row r="988" spans="7:14">
      <c r="G988" s="113"/>
      <c r="I988" s="113"/>
      <c r="K988" s="654"/>
      <c r="M988" s="247"/>
      <c r="N988" s="11"/>
    </row>
    <row r="989" spans="7:14">
      <c r="G989" s="113"/>
      <c r="I989" s="113"/>
      <c r="K989" s="654"/>
      <c r="M989" s="247"/>
      <c r="N989" s="11"/>
    </row>
    <row r="990" spans="7:14">
      <c r="G990" s="113"/>
      <c r="I990" s="113"/>
      <c r="K990" s="654"/>
      <c r="M990" s="247"/>
      <c r="N990" s="11"/>
    </row>
    <row r="991" spans="7:14">
      <c r="G991" s="113"/>
      <c r="I991" s="113"/>
      <c r="K991" s="654"/>
      <c r="M991" s="247"/>
      <c r="N991" s="11"/>
    </row>
    <row r="992" spans="7:14">
      <c r="G992" s="113"/>
      <c r="I992" s="113"/>
      <c r="K992" s="654"/>
      <c r="M992" s="247"/>
      <c r="N992" s="11"/>
    </row>
    <row r="993" spans="7:14">
      <c r="G993" s="113"/>
      <c r="I993" s="113"/>
      <c r="K993" s="654"/>
      <c r="M993" s="247"/>
      <c r="N993" s="11"/>
    </row>
    <row r="994" spans="7:14">
      <c r="G994" s="113"/>
      <c r="I994" s="113"/>
      <c r="K994" s="654"/>
      <c r="M994" s="247"/>
      <c r="N994" s="11"/>
    </row>
    <row r="995" spans="7:14">
      <c r="G995" s="113"/>
      <c r="I995" s="113"/>
      <c r="K995" s="654"/>
      <c r="M995" s="247"/>
      <c r="N995" s="11"/>
    </row>
    <row r="996" spans="7:14">
      <c r="G996" s="113"/>
      <c r="I996" s="113"/>
      <c r="K996" s="654"/>
      <c r="M996" s="247"/>
      <c r="N996" s="11"/>
    </row>
    <row r="997" spans="7:14">
      <c r="G997" s="113"/>
      <c r="I997" s="113"/>
      <c r="K997" s="654"/>
      <c r="M997" s="247"/>
      <c r="N997" s="11"/>
    </row>
    <row r="998" spans="7:14">
      <c r="G998" s="113"/>
      <c r="I998" s="113"/>
      <c r="K998" s="654"/>
      <c r="M998" s="247"/>
      <c r="N998" s="11"/>
    </row>
    <row r="999" spans="7:14">
      <c r="G999" s="113"/>
      <c r="I999" s="113"/>
      <c r="K999" s="654"/>
      <c r="M999" s="247"/>
      <c r="N999" s="11"/>
    </row>
    <row r="1000" spans="7:14">
      <c r="G1000" s="113"/>
      <c r="I1000" s="113"/>
      <c r="K1000" s="654"/>
      <c r="M1000" s="247"/>
      <c r="N1000" s="11"/>
    </row>
    <row r="1001" spans="7:14">
      <c r="G1001" s="113"/>
      <c r="I1001" s="113"/>
      <c r="K1001" s="654"/>
      <c r="M1001" s="247"/>
      <c r="N1001" s="11"/>
    </row>
    <row r="1002" spans="7:14">
      <c r="G1002" s="113"/>
      <c r="I1002" s="113"/>
      <c r="K1002" s="654"/>
      <c r="M1002" s="247"/>
      <c r="N1002" s="11"/>
    </row>
    <row r="1003" spans="7:14">
      <c r="G1003" s="113"/>
      <c r="I1003" s="113"/>
      <c r="K1003" s="654"/>
      <c r="M1003" s="247"/>
      <c r="N1003" s="11"/>
    </row>
    <row r="1004" spans="7:14">
      <c r="G1004" s="113"/>
      <c r="I1004" s="113"/>
      <c r="K1004" s="654"/>
      <c r="M1004" s="247"/>
      <c r="N1004" s="11"/>
    </row>
    <row r="1005" spans="7:14">
      <c r="G1005" s="113"/>
      <c r="I1005" s="113"/>
      <c r="K1005" s="654"/>
      <c r="M1005" s="247"/>
      <c r="N1005" s="11"/>
    </row>
    <row r="1006" spans="7:14">
      <c r="G1006" s="113"/>
      <c r="I1006" s="113"/>
      <c r="K1006" s="654"/>
      <c r="M1006" s="247"/>
      <c r="N1006" s="11"/>
    </row>
    <row r="1007" spans="7:14">
      <c r="G1007" s="113"/>
      <c r="I1007" s="113"/>
      <c r="K1007" s="654"/>
      <c r="M1007" s="247"/>
      <c r="N1007" s="11"/>
    </row>
    <row r="1008" spans="7:14">
      <c r="G1008" s="113"/>
      <c r="I1008" s="113"/>
      <c r="K1008" s="654"/>
      <c r="M1008" s="247"/>
      <c r="N1008" s="11"/>
    </row>
    <row r="1009" spans="7:14">
      <c r="G1009" s="113"/>
      <c r="I1009" s="113"/>
      <c r="K1009" s="654"/>
      <c r="M1009" s="247"/>
      <c r="N1009" s="11"/>
    </row>
    <row r="1010" spans="7:14">
      <c r="G1010" s="113"/>
      <c r="I1010" s="113"/>
      <c r="K1010" s="654"/>
      <c r="M1010" s="247"/>
      <c r="N1010" s="11"/>
    </row>
    <row r="1011" spans="7:14">
      <c r="G1011" s="113"/>
      <c r="I1011" s="113"/>
      <c r="K1011" s="654"/>
      <c r="M1011" s="247"/>
      <c r="N1011" s="11"/>
    </row>
    <row r="1012" spans="7:14">
      <c r="G1012" s="113"/>
      <c r="I1012" s="113"/>
      <c r="K1012" s="654"/>
      <c r="M1012" s="247"/>
      <c r="N1012" s="11"/>
    </row>
    <row r="1013" spans="7:14">
      <c r="G1013" s="113"/>
      <c r="I1013" s="113"/>
      <c r="K1013" s="654"/>
      <c r="M1013" s="247"/>
      <c r="N1013" s="11"/>
    </row>
    <row r="1014" spans="7:14">
      <c r="G1014" s="113"/>
      <c r="I1014" s="113"/>
      <c r="K1014" s="654"/>
      <c r="M1014" s="247"/>
      <c r="N1014" s="11"/>
    </row>
  </sheetData>
  <mergeCells count="15">
    <mergeCell ref="E2:J2"/>
    <mergeCell ref="E3:N3"/>
    <mergeCell ref="A5:L5"/>
    <mergeCell ref="A6:L6"/>
    <mergeCell ref="A8:A10"/>
    <mergeCell ref="B8:F8"/>
    <mergeCell ref="G8:G10"/>
    <mergeCell ref="H8:H10"/>
    <mergeCell ref="I8:I10"/>
    <mergeCell ref="J8:J10"/>
    <mergeCell ref="K8:K10"/>
    <mergeCell ref="L8:L10"/>
    <mergeCell ref="M8:M10"/>
    <mergeCell ref="N8:N10"/>
    <mergeCell ref="B9:F9"/>
  </mergeCells>
  <pageMargins left="0.78740157480314965" right="0" top="0.19685039370078741" bottom="0" header="0.51181102362204722" footer="0.51181102362204722"/>
  <pageSetup paperSize="9" scale="73" orientation="portrait" r:id="rId1"/>
  <headerFooter alignWithMargins="0"/>
  <rowBreaks count="1" manualBreakCount="1">
    <brk id="73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N36"/>
  <sheetViews>
    <sheetView view="pageBreakPreview" topLeftCell="C1" zoomScale="80" zoomScaleNormal="75" zoomScaleSheetLayoutView="80" workbookViewId="0">
      <selection activeCell="K28" sqref="K28"/>
    </sheetView>
  </sheetViews>
  <sheetFormatPr defaultRowHeight="12.75"/>
  <cols>
    <col min="1" max="1" width="7.5703125" style="253" customWidth="1"/>
    <col min="2" max="2" width="49.85546875" customWidth="1"/>
    <col min="3" max="3" width="14.5703125" style="401" bestFit="1" customWidth="1"/>
    <col min="4" max="4" width="12" style="401" customWidth="1"/>
    <col min="5" max="5" width="11.5703125" style="401" customWidth="1"/>
    <col min="6" max="6" width="10.7109375" style="401" customWidth="1"/>
    <col min="7" max="7" width="15" style="401" hidden="1" customWidth="1"/>
    <col min="8" max="8" width="14.85546875" style="401" customWidth="1"/>
    <col min="9" max="9" width="12" style="401" customWidth="1"/>
    <col min="10" max="10" width="11.5703125" style="401" customWidth="1"/>
    <col min="11" max="11" width="14.85546875" style="401" bestFit="1" customWidth="1"/>
    <col min="12" max="12" width="15.140625" style="401" customWidth="1"/>
    <col min="13" max="13" width="13.7109375" style="401" customWidth="1"/>
    <col min="14" max="14" width="13.42578125" style="401" bestFit="1" customWidth="1"/>
  </cols>
  <sheetData>
    <row r="1" spans="1:14" ht="12.75" customHeight="1">
      <c r="A1" s="269"/>
      <c r="B1" s="268"/>
      <c r="C1" s="399"/>
      <c r="D1" s="399"/>
      <c r="E1" s="400"/>
      <c r="F1" s="400"/>
      <c r="K1" s="704"/>
      <c r="L1" s="704"/>
      <c r="M1" s="705"/>
      <c r="N1" s="705"/>
    </row>
    <row r="2" spans="1:14" ht="12.75" customHeight="1">
      <c r="A2" s="269"/>
      <c r="B2" s="268"/>
      <c r="C2" s="399"/>
      <c r="D2" s="399"/>
      <c r="E2" s="400"/>
      <c r="F2" s="400"/>
      <c r="K2" s="704" t="s">
        <v>1222</v>
      </c>
      <c r="L2" s="704"/>
      <c r="M2" s="705"/>
      <c r="N2" s="705"/>
    </row>
    <row r="3" spans="1:14">
      <c r="A3" s="269"/>
      <c r="B3" s="268"/>
      <c r="C3" s="402"/>
      <c r="D3" s="402"/>
      <c r="E3" s="402"/>
      <c r="F3" s="402"/>
      <c r="G3" s="402"/>
      <c r="H3" s="402"/>
      <c r="K3" s="706" t="s">
        <v>1223</v>
      </c>
      <c r="L3" s="706"/>
      <c r="M3" s="706"/>
      <c r="N3" s="706"/>
    </row>
    <row r="4" spans="1:14">
      <c r="A4" s="269"/>
      <c r="B4" s="268"/>
      <c r="C4" s="402"/>
      <c r="D4" s="402"/>
      <c r="E4" s="402"/>
      <c r="F4" s="402"/>
      <c r="G4" s="402"/>
      <c r="H4" s="402"/>
      <c r="K4" s="706"/>
      <c r="L4" s="706"/>
      <c r="M4" s="706"/>
      <c r="N4" s="706"/>
    </row>
    <row r="5" spans="1:14" ht="7.5" customHeight="1">
      <c r="A5" s="269"/>
      <c r="B5" s="268"/>
      <c r="C5" s="402"/>
      <c r="D5" s="402"/>
      <c r="E5" s="402"/>
      <c r="F5" s="402"/>
      <c r="G5" s="402"/>
      <c r="H5" s="402"/>
      <c r="K5" s="706"/>
      <c r="L5" s="706"/>
      <c r="M5" s="706"/>
      <c r="N5" s="706"/>
    </row>
    <row r="6" spans="1:14" ht="26.25" customHeight="1">
      <c r="A6" s="707" t="s">
        <v>1173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</row>
    <row r="7" spans="1:14">
      <c r="A7" s="267"/>
      <c r="B7" s="708" t="s">
        <v>1025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</row>
    <row r="8" spans="1:14" ht="13.5" thickBot="1">
      <c r="A8" s="266"/>
      <c r="B8" s="265"/>
      <c r="C8" s="403"/>
      <c r="D8" s="403"/>
      <c r="E8" s="403"/>
      <c r="F8" s="403"/>
      <c r="I8" s="403"/>
      <c r="J8" s="403"/>
      <c r="K8" s="403"/>
      <c r="L8" s="403"/>
      <c r="M8" s="403"/>
      <c r="N8" s="403" t="s">
        <v>1024</v>
      </c>
    </row>
    <row r="9" spans="1:14" ht="12.75" customHeight="1">
      <c r="A9" s="698" t="s">
        <v>1023</v>
      </c>
      <c r="B9" s="700" t="s">
        <v>1022</v>
      </c>
      <c r="C9" s="702" t="s">
        <v>1021</v>
      </c>
      <c r="D9" s="714" t="s">
        <v>1017</v>
      </c>
      <c r="E9" s="715"/>
      <c r="F9" s="716"/>
      <c r="G9" s="709" t="s">
        <v>1020</v>
      </c>
      <c r="H9" s="711" t="s">
        <v>1019</v>
      </c>
      <c r="I9" s="712"/>
      <c r="J9" s="713"/>
      <c r="K9" s="702" t="s">
        <v>1018</v>
      </c>
      <c r="L9" s="714" t="s">
        <v>1017</v>
      </c>
      <c r="M9" s="715"/>
      <c r="N9" s="716"/>
    </row>
    <row r="10" spans="1:14" ht="26.25" customHeight="1" thickBot="1">
      <c r="A10" s="699"/>
      <c r="B10" s="701"/>
      <c r="C10" s="703"/>
      <c r="D10" s="404" t="s">
        <v>1029</v>
      </c>
      <c r="E10" s="405" t="s">
        <v>1016</v>
      </c>
      <c r="F10" s="405" t="s">
        <v>1015</v>
      </c>
      <c r="G10" s="710"/>
      <c r="H10" s="404" t="s">
        <v>1029</v>
      </c>
      <c r="I10" s="405" t="s">
        <v>1016</v>
      </c>
      <c r="J10" s="405" t="s">
        <v>1015</v>
      </c>
      <c r="K10" s="703"/>
      <c r="L10" s="405" t="s">
        <v>1030</v>
      </c>
      <c r="M10" s="405" t="s">
        <v>1016</v>
      </c>
      <c r="N10" s="405" t="s">
        <v>1015</v>
      </c>
    </row>
    <row r="11" spans="1:14" ht="15.75">
      <c r="A11" s="264">
        <v>1</v>
      </c>
      <c r="B11" s="498" t="s">
        <v>1014</v>
      </c>
      <c r="C11" s="393">
        <f>SUM(D11:F11)</f>
        <v>2569.165</v>
      </c>
      <c r="D11" s="407">
        <f t="shared" ref="D11:N11" si="0">SUM(D12:D22)</f>
        <v>0</v>
      </c>
      <c r="E11" s="407">
        <f t="shared" si="0"/>
        <v>0</v>
      </c>
      <c r="F11" s="407">
        <f t="shared" si="0"/>
        <v>2569.165</v>
      </c>
      <c r="G11" s="407">
        <f t="shared" si="0"/>
        <v>0</v>
      </c>
      <c r="H11" s="407">
        <f t="shared" si="0"/>
        <v>0</v>
      </c>
      <c r="I11" s="407">
        <f t="shared" si="0"/>
        <v>0</v>
      </c>
      <c r="J11" s="407">
        <f t="shared" si="0"/>
        <v>0</v>
      </c>
      <c r="K11" s="407">
        <f t="shared" si="0"/>
        <v>2569.165</v>
      </c>
      <c r="L11" s="407">
        <f t="shared" si="0"/>
        <v>0</v>
      </c>
      <c r="M11" s="407">
        <f t="shared" si="0"/>
        <v>0</v>
      </c>
      <c r="N11" s="407">
        <f t="shared" si="0"/>
        <v>2569.165</v>
      </c>
    </row>
    <row r="12" spans="1:14" ht="30">
      <c r="A12" s="264" t="s">
        <v>1</v>
      </c>
      <c r="B12" s="499" t="s">
        <v>1013</v>
      </c>
      <c r="C12" s="489">
        <f>SUM(D12:F12)</f>
        <v>666.13300000000004</v>
      </c>
      <c r="D12" s="489"/>
      <c r="E12" s="489"/>
      <c r="F12" s="489">
        <v>666.13300000000004</v>
      </c>
      <c r="G12" s="490"/>
      <c r="H12" s="491"/>
      <c r="I12" s="489"/>
      <c r="J12" s="489"/>
      <c r="K12" s="489">
        <f>SUM(L12:N12)</f>
        <v>666.13300000000004</v>
      </c>
      <c r="L12" s="489">
        <f>D12+H12</f>
        <v>0</v>
      </c>
      <c r="M12" s="489">
        <f t="shared" ref="M12:M20" si="1">E12+I12</f>
        <v>0</v>
      </c>
      <c r="N12" s="489">
        <f t="shared" ref="N12:N20" si="2">J12+F12</f>
        <v>666.13300000000004</v>
      </c>
    </row>
    <row r="13" spans="1:14" ht="30">
      <c r="A13" s="264" t="s">
        <v>2</v>
      </c>
      <c r="B13" s="499" t="s">
        <v>1012</v>
      </c>
      <c r="C13" s="489">
        <f t="shared" ref="C13:C22" si="3">SUM(D13:F13)</f>
        <v>255</v>
      </c>
      <c r="D13" s="489"/>
      <c r="E13" s="489"/>
      <c r="F13" s="489">
        <v>255</v>
      </c>
      <c r="G13" s="490"/>
      <c r="H13" s="491"/>
      <c r="I13" s="489"/>
      <c r="J13" s="489"/>
      <c r="K13" s="489">
        <f t="shared" ref="K13:K20" si="4">SUM(L13:N13)</f>
        <v>255</v>
      </c>
      <c r="L13" s="489">
        <f t="shared" ref="L13:L20" si="5">D13+H13</f>
        <v>0</v>
      </c>
      <c r="M13" s="489">
        <f t="shared" si="1"/>
        <v>0</v>
      </c>
      <c r="N13" s="489">
        <f t="shared" si="2"/>
        <v>255</v>
      </c>
    </row>
    <row r="14" spans="1:14" ht="30">
      <c r="A14" s="264" t="s">
        <v>3</v>
      </c>
      <c r="B14" s="500" t="s">
        <v>1011</v>
      </c>
      <c r="C14" s="489">
        <f t="shared" si="3"/>
        <v>365</v>
      </c>
      <c r="D14" s="492"/>
      <c r="E14" s="493"/>
      <c r="F14" s="493">
        <v>365</v>
      </c>
      <c r="G14" s="490"/>
      <c r="H14" s="491"/>
      <c r="I14" s="493"/>
      <c r="J14" s="493"/>
      <c r="K14" s="489">
        <f t="shared" si="4"/>
        <v>365</v>
      </c>
      <c r="L14" s="489">
        <f t="shared" si="5"/>
        <v>0</v>
      </c>
      <c r="M14" s="489">
        <f t="shared" si="1"/>
        <v>0</v>
      </c>
      <c r="N14" s="489">
        <f t="shared" si="2"/>
        <v>365</v>
      </c>
    </row>
    <row r="15" spans="1:14" ht="30">
      <c r="A15" s="264" t="s">
        <v>4</v>
      </c>
      <c r="B15" s="500" t="s">
        <v>1010</v>
      </c>
      <c r="C15" s="489">
        <f t="shared" si="3"/>
        <v>152.84399999999999</v>
      </c>
      <c r="D15" s="492"/>
      <c r="E15" s="493"/>
      <c r="F15" s="493">
        <v>152.84399999999999</v>
      </c>
      <c r="G15" s="490"/>
      <c r="H15" s="491"/>
      <c r="I15" s="493"/>
      <c r="J15" s="493"/>
      <c r="K15" s="489">
        <f t="shared" si="4"/>
        <v>152.84399999999999</v>
      </c>
      <c r="L15" s="489">
        <f t="shared" si="5"/>
        <v>0</v>
      </c>
      <c r="M15" s="489">
        <f t="shared" si="1"/>
        <v>0</v>
      </c>
      <c r="N15" s="489">
        <f t="shared" si="2"/>
        <v>152.84399999999999</v>
      </c>
    </row>
    <row r="16" spans="1:14" ht="30">
      <c r="A16" s="264" t="s">
        <v>5</v>
      </c>
      <c r="B16" s="500" t="s">
        <v>1009</v>
      </c>
      <c r="C16" s="489">
        <f t="shared" si="3"/>
        <v>242.63200000000001</v>
      </c>
      <c r="D16" s="492"/>
      <c r="E16" s="493"/>
      <c r="F16" s="493">
        <v>242.63200000000001</v>
      </c>
      <c r="G16" s="490"/>
      <c r="H16" s="491"/>
      <c r="I16" s="493"/>
      <c r="J16" s="493"/>
      <c r="K16" s="489">
        <f t="shared" si="4"/>
        <v>242.63200000000001</v>
      </c>
      <c r="L16" s="489">
        <f t="shared" si="5"/>
        <v>0</v>
      </c>
      <c r="M16" s="489">
        <f t="shared" si="1"/>
        <v>0</v>
      </c>
      <c r="N16" s="489">
        <f t="shared" si="2"/>
        <v>242.63200000000001</v>
      </c>
    </row>
    <row r="17" spans="1:14" ht="30">
      <c r="A17" s="264" t="s">
        <v>1008</v>
      </c>
      <c r="B17" s="500" t="s">
        <v>1007</v>
      </c>
      <c r="C17" s="489">
        <f t="shared" si="3"/>
        <v>96.221000000000004</v>
      </c>
      <c r="D17" s="492"/>
      <c r="E17" s="493"/>
      <c r="F17" s="493">
        <v>96.221000000000004</v>
      </c>
      <c r="G17" s="490"/>
      <c r="H17" s="491"/>
      <c r="I17" s="493"/>
      <c r="J17" s="493"/>
      <c r="K17" s="489">
        <f t="shared" si="4"/>
        <v>96.221000000000004</v>
      </c>
      <c r="L17" s="489">
        <f t="shared" si="5"/>
        <v>0</v>
      </c>
      <c r="M17" s="489">
        <f t="shared" si="1"/>
        <v>0</v>
      </c>
      <c r="N17" s="489">
        <f t="shared" si="2"/>
        <v>96.221000000000004</v>
      </c>
    </row>
    <row r="18" spans="1:14" ht="45">
      <c r="A18" s="264" t="s">
        <v>1006</v>
      </c>
      <c r="B18" s="500" t="s">
        <v>1005</v>
      </c>
      <c r="C18" s="489">
        <f t="shared" si="3"/>
        <v>204.01</v>
      </c>
      <c r="D18" s="492"/>
      <c r="E18" s="493"/>
      <c r="F18" s="493">
        <v>204.01</v>
      </c>
      <c r="G18" s="490"/>
      <c r="H18" s="491"/>
      <c r="I18" s="493"/>
      <c r="J18" s="493"/>
      <c r="K18" s="489">
        <f t="shared" si="4"/>
        <v>204.01</v>
      </c>
      <c r="L18" s="489">
        <f t="shared" si="5"/>
        <v>0</v>
      </c>
      <c r="M18" s="489">
        <f t="shared" si="1"/>
        <v>0</v>
      </c>
      <c r="N18" s="489">
        <f t="shared" si="2"/>
        <v>204.01</v>
      </c>
    </row>
    <row r="19" spans="1:14" ht="30">
      <c r="A19" s="264" t="s">
        <v>1004</v>
      </c>
      <c r="B19" s="500" t="s">
        <v>1003</v>
      </c>
      <c r="C19" s="489">
        <f t="shared" si="3"/>
        <v>297.43</v>
      </c>
      <c r="D19" s="492"/>
      <c r="E19" s="493"/>
      <c r="F19" s="493">
        <v>297.43</v>
      </c>
      <c r="G19" s="490"/>
      <c r="H19" s="491"/>
      <c r="I19" s="493"/>
      <c r="J19" s="493"/>
      <c r="K19" s="489">
        <f t="shared" si="4"/>
        <v>297.43</v>
      </c>
      <c r="L19" s="489">
        <f t="shared" si="5"/>
        <v>0</v>
      </c>
      <c r="M19" s="489">
        <f t="shared" si="1"/>
        <v>0</v>
      </c>
      <c r="N19" s="489">
        <f t="shared" si="2"/>
        <v>297.43</v>
      </c>
    </row>
    <row r="20" spans="1:14" ht="30">
      <c r="A20" s="264" t="s">
        <v>1002</v>
      </c>
      <c r="B20" s="500" t="s">
        <v>1001</v>
      </c>
      <c r="C20" s="489">
        <f t="shared" si="3"/>
        <v>189.89500000000001</v>
      </c>
      <c r="D20" s="492"/>
      <c r="E20" s="493"/>
      <c r="F20" s="493">
        <v>189.89500000000001</v>
      </c>
      <c r="G20" s="490"/>
      <c r="H20" s="491"/>
      <c r="I20" s="493"/>
      <c r="J20" s="493"/>
      <c r="K20" s="489">
        <f t="shared" si="4"/>
        <v>189.89500000000001</v>
      </c>
      <c r="L20" s="489">
        <f t="shared" si="5"/>
        <v>0</v>
      </c>
      <c r="M20" s="489">
        <f t="shared" si="1"/>
        <v>0</v>
      </c>
      <c r="N20" s="489">
        <f t="shared" si="2"/>
        <v>189.89500000000001</v>
      </c>
    </row>
    <row r="21" spans="1:14" ht="45">
      <c r="A21" s="263" t="s">
        <v>1000</v>
      </c>
      <c r="B21" s="500" t="s">
        <v>999</v>
      </c>
      <c r="C21" s="489">
        <f t="shared" si="3"/>
        <v>0</v>
      </c>
      <c r="D21" s="492"/>
      <c r="E21" s="493"/>
      <c r="F21" s="493">
        <v>0</v>
      </c>
      <c r="G21" s="490"/>
      <c r="H21" s="491"/>
      <c r="I21" s="493"/>
      <c r="J21" s="493"/>
      <c r="K21" s="489">
        <f>SUM(L21:N21)</f>
        <v>0</v>
      </c>
      <c r="L21" s="489">
        <f t="shared" ref="L21:M22" si="6">D21+H21</f>
        <v>0</v>
      </c>
      <c r="M21" s="489">
        <f t="shared" si="6"/>
        <v>0</v>
      </c>
      <c r="N21" s="489">
        <f>J21+F21</f>
        <v>0</v>
      </c>
    </row>
    <row r="22" spans="1:14" ht="45">
      <c r="A22" s="263" t="s">
        <v>1190</v>
      </c>
      <c r="B22" s="500" t="s">
        <v>1080</v>
      </c>
      <c r="C22" s="489">
        <f t="shared" si="3"/>
        <v>100</v>
      </c>
      <c r="D22" s="492"/>
      <c r="E22" s="493"/>
      <c r="F22" s="493">
        <v>100</v>
      </c>
      <c r="G22" s="490"/>
      <c r="H22" s="491"/>
      <c r="I22" s="493"/>
      <c r="J22" s="493"/>
      <c r="K22" s="489">
        <f>SUM(L22:N22)</f>
        <v>100</v>
      </c>
      <c r="L22" s="489">
        <f t="shared" si="6"/>
        <v>0</v>
      </c>
      <c r="M22" s="489">
        <f t="shared" si="6"/>
        <v>0</v>
      </c>
      <c r="N22" s="489">
        <f>J22+F22</f>
        <v>100</v>
      </c>
    </row>
    <row r="23" spans="1:14" s="261" customFormat="1" ht="15.75">
      <c r="A23" s="262"/>
      <c r="B23" s="501" t="s">
        <v>998</v>
      </c>
      <c r="C23" s="394">
        <f t="shared" ref="C23:N23" si="7">C24+C30+C32+C34</f>
        <v>154319.20000000001</v>
      </c>
      <c r="D23" s="394">
        <f t="shared" si="7"/>
        <v>111487.6</v>
      </c>
      <c r="E23" s="394">
        <f t="shared" si="7"/>
        <v>37434.6</v>
      </c>
      <c r="F23" s="394">
        <f>F24+F30+F32+F34</f>
        <v>5397</v>
      </c>
      <c r="G23" s="394">
        <f t="shared" si="7"/>
        <v>44884</v>
      </c>
      <c r="H23" s="394">
        <f t="shared" si="7"/>
        <v>22000</v>
      </c>
      <c r="I23" s="394">
        <f t="shared" si="7"/>
        <v>18463</v>
      </c>
      <c r="J23" s="394">
        <f t="shared" si="7"/>
        <v>199</v>
      </c>
      <c r="K23" s="394">
        <f t="shared" si="7"/>
        <v>194981.2</v>
      </c>
      <c r="L23" s="394">
        <f t="shared" si="7"/>
        <v>133487.6</v>
      </c>
      <c r="M23" s="394">
        <f t="shared" si="7"/>
        <v>55897.599999999999</v>
      </c>
      <c r="N23" s="394">
        <f t="shared" si="7"/>
        <v>5596</v>
      </c>
    </row>
    <row r="24" spans="1:14" ht="15.75">
      <c r="A24" s="260">
        <v>2</v>
      </c>
      <c r="B24" s="502" t="s">
        <v>997</v>
      </c>
      <c r="C24" s="395">
        <f t="shared" ref="C24:J24" si="8">C25</f>
        <v>21310.2</v>
      </c>
      <c r="D24" s="395">
        <f>D25</f>
        <v>3587.6</v>
      </c>
      <c r="E24" s="395">
        <f t="shared" si="8"/>
        <v>14795.6</v>
      </c>
      <c r="F24" s="395">
        <f t="shared" si="8"/>
        <v>2927</v>
      </c>
      <c r="G24" s="395">
        <f t="shared" si="8"/>
        <v>24884</v>
      </c>
      <c r="H24" s="395">
        <f t="shared" si="8"/>
        <v>0</v>
      </c>
      <c r="I24" s="395">
        <f t="shared" si="8"/>
        <v>18463</v>
      </c>
      <c r="J24" s="395">
        <f t="shared" si="8"/>
        <v>199</v>
      </c>
      <c r="K24" s="395">
        <f>K25</f>
        <v>39972.199999999997</v>
      </c>
      <c r="L24" s="395">
        <f>L25</f>
        <v>3587.6</v>
      </c>
      <c r="M24" s="395">
        <f>M25</f>
        <v>33258.6</v>
      </c>
      <c r="N24" s="395">
        <f>N25</f>
        <v>3126</v>
      </c>
    </row>
    <row r="25" spans="1:14" ht="28.5">
      <c r="A25" s="260"/>
      <c r="B25" s="502" t="s">
        <v>996</v>
      </c>
      <c r="C25" s="395">
        <f t="shared" ref="C25:N25" si="9">SUM(C26:C28)</f>
        <v>21310.2</v>
      </c>
      <c r="D25" s="395">
        <f t="shared" si="9"/>
        <v>3587.6</v>
      </c>
      <c r="E25" s="395">
        <f t="shared" si="9"/>
        <v>14795.6</v>
      </c>
      <c r="F25" s="395">
        <f t="shared" si="9"/>
        <v>2927</v>
      </c>
      <c r="G25" s="395">
        <f t="shared" si="9"/>
        <v>24884</v>
      </c>
      <c r="H25" s="395">
        <f t="shared" si="9"/>
        <v>0</v>
      </c>
      <c r="I25" s="395">
        <f t="shared" si="9"/>
        <v>18463</v>
      </c>
      <c r="J25" s="395">
        <f t="shared" si="9"/>
        <v>199</v>
      </c>
      <c r="K25" s="395">
        <f t="shared" si="9"/>
        <v>39972.199999999997</v>
      </c>
      <c r="L25" s="395">
        <f t="shared" si="9"/>
        <v>3587.6</v>
      </c>
      <c r="M25" s="395">
        <f t="shared" si="9"/>
        <v>33258.6</v>
      </c>
      <c r="N25" s="395">
        <f t="shared" si="9"/>
        <v>3126</v>
      </c>
    </row>
    <row r="26" spans="1:14" ht="15.75">
      <c r="A26" s="260" t="s">
        <v>995</v>
      </c>
      <c r="B26" s="503" t="s">
        <v>994</v>
      </c>
      <c r="C26" s="494">
        <f>SUM(D26:F26)</f>
        <v>1856</v>
      </c>
      <c r="D26" s="494">
        <v>201</v>
      </c>
      <c r="E26" s="494">
        <v>1155</v>
      </c>
      <c r="F26" s="494">
        <v>500</v>
      </c>
      <c r="G26" s="490">
        <v>3484</v>
      </c>
      <c r="H26" s="490"/>
      <c r="I26" s="494">
        <v>1965</v>
      </c>
      <c r="J26" s="494"/>
      <c r="K26" s="494">
        <f>SUM(L26:N26)</f>
        <v>3821</v>
      </c>
      <c r="L26" s="489">
        <f t="shared" ref="L26:M28" si="10">D26+H26</f>
        <v>201</v>
      </c>
      <c r="M26" s="494">
        <f t="shared" si="10"/>
        <v>3120</v>
      </c>
      <c r="N26" s="494">
        <v>500</v>
      </c>
    </row>
    <row r="27" spans="1:14" ht="15.75">
      <c r="A27" s="258" t="s">
        <v>993</v>
      </c>
      <c r="B27" s="503" t="s">
        <v>1028</v>
      </c>
      <c r="C27" s="494">
        <f>SUM(D27:F27)</f>
        <v>14954.2</v>
      </c>
      <c r="D27" s="494">
        <v>3386.6</v>
      </c>
      <c r="E27" s="494">
        <v>9640.6</v>
      </c>
      <c r="F27" s="494">
        <v>1927</v>
      </c>
      <c r="G27" s="490"/>
      <c r="H27" s="490"/>
      <c r="I27" s="494">
        <v>6498</v>
      </c>
      <c r="J27" s="494">
        <v>199</v>
      </c>
      <c r="K27" s="494">
        <f>SUM(L27:N27)</f>
        <v>21651.200000000001</v>
      </c>
      <c r="L27" s="489">
        <f t="shared" si="10"/>
        <v>3386.6</v>
      </c>
      <c r="M27" s="494">
        <f t="shared" si="10"/>
        <v>16138.6</v>
      </c>
      <c r="N27" s="494">
        <f>F27+J27</f>
        <v>2126</v>
      </c>
    </row>
    <row r="28" spans="1:14" ht="30">
      <c r="A28" s="258" t="s">
        <v>992</v>
      </c>
      <c r="B28" s="504" t="s">
        <v>991</v>
      </c>
      <c r="C28" s="494">
        <f>SUM(D28:F28)</f>
        <v>4500</v>
      </c>
      <c r="D28" s="494"/>
      <c r="E28" s="494">
        <v>4000</v>
      </c>
      <c r="F28" s="494">
        <f>445+55</f>
        <v>500</v>
      </c>
      <c r="G28" s="490">
        <v>21400</v>
      </c>
      <c r="H28" s="490"/>
      <c r="I28" s="494">
        <v>10000</v>
      </c>
      <c r="J28" s="494"/>
      <c r="K28" s="494">
        <f>SUM(L28:N28)</f>
        <v>14500</v>
      </c>
      <c r="L28" s="495">
        <f t="shared" si="10"/>
        <v>0</v>
      </c>
      <c r="M28" s="494">
        <f t="shared" si="10"/>
        <v>14000</v>
      </c>
      <c r="N28" s="494">
        <f>445+55</f>
        <v>500</v>
      </c>
    </row>
    <row r="29" spans="1:14" ht="31.5" hidden="1" customHeight="1">
      <c r="A29" s="259" t="s">
        <v>990</v>
      </c>
      <c r="B29" s="505" t="s">
        <v>989</v>
      </c>
      <c r="C29" s="396">
        <f>SUM(E29:F29)</f>
        <v>0</v>
      </c>
      <c r="D29" s="396"/>
      <c r="E29" s="396"/>
      <c r="F29" s="396"/>
      <c r="G29" s="408"/>
      <c r="H29" s="408"/>
      <c r="I29" s="396"/>
      <c r="J29" s="396"/>
      <c r="K29" s="396">
        <f>SUM(M29:N29)</f>
        <v>0</v>
      </c>
      <c r="L29" s="396"/>
      <c r="M29" s="396"/>
      <c r="N29" s="396"/>
    </row>
    <row r="30" spans="1:14" ht="28.5">
      <c r="A30" s="258">
        <v>3</v>
      </c>
      <c r="B30" s="502" t="s">
        <v>988</v>
      </c>
      <c r="C30" s="395">
        <f t="shared" ref="C30:N30" si="11">SUM(C31:C31)</f>
        <v>74599</v>
      </c>
      <c r="D30" s="395">
        <f t="shared" si="11"/>
        <v>50000</v>
      </c>
      <c r="E30" s="395">
        <f t="shared" si="11"/>
        <v>22139</v>
      </c>
      <c r="F30" s="395">
        <f t="shared" si="11"/>
        <v>2460</v>
      </c>
      <c r="G30" s="395">
        <f t="shared" si="11"/>
        <v>20000</v>
      </c>
      <c r="H30" s="395">
        <f t="shared" si="11"/>
        <v>22000</v>
      </c>
      <c r="I30" s="395">
        <f t="shared" si="11"/>
        <v>0</v>
      </c>
      <c r="J30" s="395">
        <f t="shared" si="11"/>
        <v>0</v>
      </c>
      <c r="K30" s="395">
        <f>SUM(K31:K31)</f>
        <v>96599</v>
      </c>
      <c r="L30" s="395">
        <f>SUM(L31:L31)</f>
        <v>72000</v>
      </c>
      <c r="M30" s="395">
        <f t="shared" si="11"/>
        <v>22139</v>
      </c>
      <c r="N30" s="395">
        <f t="shared" si="11"/>
        <v>2460</v>
      </c>
    </row>
    <row r="31" spans="1:14" ht="30">
      <c r="A31" s="496" t="s">
        <v>7</v>
      </c>
      <c r="B31" s="503" t="s">
        <v>987</v>
      </c>
      <c r="C31" s="494">
        <f>SUM(D31:F31)</f>
        <v>74599</v>
      </c>
      <c r="D31" s="494">
        <v>50000</v>
      </c>
      <c r="E31" s="494">
        <v>22139</v>
      </c>
      <c r="F31" s="494">
        <f>2460</f>
        <v>2460</v>
      </c>
      <c r="G31" s="497">
        <v>20000</v>
      </c>
      <c r="H31" s="497">
        <v>22000</v>
      </c>
      <c r="I31" s="494"/>
      <c r="J31" s="494"/>
      <c r="K31" s="494">
        <f>SUM(L31:N31)</f>
        <v>96599</v>
      </c>
      <c r="L31" s="495">
        <f>D31+H31</f>
        <v>72000</v>
      </c>
      <c r="M31" s="494">
        <f>E31+I31</f>
        <v>22139</v>
      </c>
      <c r="N31" s="494">
        <f>F31+J31</f>
        <v>2460</v>
      </c>
    </row>
    <row r="32" spans="1:14" ht="59.25" customHeight="1">
      <c r="A32" s="258">
        <v>4</v>
      </c>
      <c r="B32" s="506" t="s">
        <v>1083</v>
      </c>
      <c r="C32" s="395">
        <f>SUM(D32:F32)</f>
        <v>58410</v>
      </c>
      <c r="D32" s="395">
        <f>SUM(D33)</f>
        <v>57900</v>
      </c>
      <c r="E32" s="395">
        <f t="shared" ref="E32:N32" si="12">SUM(E33)</f>
        <v>500</v>
      </c>
      <c r="F32" s="395">
        <f t="shared" si="12"/>
        <v>10</v>
      </c>
      <c r="G32" s="395">
        <f t="shared" si="12"/>
        <v>0</v>
      </c>
      <c r="H32" s="395">
        <f t="shared" si="12"/>
        <v>0</v>
      </c>
      <c r="I32" s="395">
        <f t="shared" si="12"/>
        <v>0</v>
      </c>
      <c r="J32" s="395">
        <f t="shared" si="12"/>
        <v>0</v>
      </c>
      <c r="K32" s="395">
        <f>SUM(K33)</f>
        <v>58410</v>
      </c>
      <c r="L32" s="395">
        <f t="shared" si="12"/>
        <v>57900</v>
      </c>
      <c r="M32" s="395">
        <f t="shared" si="12"/>
        <v>500</v>
      </c>
      <c r="N32" s="395">
        <f t="shared" si="12"/>
        <v>10</v>
      </c>
    </row>
    <row r="33" spans="1:14" ht="33" customHeight="1" thickBot="1">
      <c r="A33" s="413" t="s">
        <v>1081</v>
      </c>
      <c r="B33" s="507" t="s">
        <v>1082</v>
      </c>
      <c r="C33" s="396">
        <f>SUM(D33:F33)</f>
        <v>58410</v>
      </c>
      <c r="D33" s="396">
        <v>57900</v>
      </c>
      <c r="E33" s="396">
        <v>500</v>
      </c>
      <c r="F33" s="396">
        <v>10</v>
      </c>
      <c r="G33" s="408"/>
      <c r="H33" s="408"/>
      <c r="I33" s="396"/>
      <c r="J33" s="396"/>
      <c r="K33" s="396">
        <f>SUM(L33:N33)</f>
        <v>58410</v>
      </c>
      <c r="L33" s="414">
        <f>D33+H33</f>
        <v>57900</v>
      </c>
      <c r="M33" s="396">
        <f>E33+I33</f>
        <v>500</v>
      </c>
      <c r="N33" s="396">
        <f>F33+J33</f>
        <v>10</v>
      </c>
    </row>
    <row r="34" spans="1:14" ht="22.5" hidden="1" customHeight="1" thickBot="1">
      <c r="A34" s="257"/>
      <c r="B34" s="256"/>
      <c r="C34" s="397">
        <f>SUM(E34:F34)</f>
        <v>0</v>
      </c>
      <c r="D34" s="397"/>
      <c r="E34" s="397"/>
      <c r="F34" s="410"/>
      <c r="G34" s="409"/>
      <c r="H34" s="409"/>
      <c r="I34" s="397"/>
      <c r="J34" s="410"/>
      <c r="K34" s="397">
        <f>SUM(M34:N34)</f>
        <v>0</v>
      </c>
      <c r="L34" s="397"/>
      <c r="M34" s="397"/>
      <c r="N34" s="410"/>
    </row>
    <row r="35" spans="1:14" ht="16.5" thickBot="1">
      <c r="A35" s="696" t="s">
        <v>986</v>
      </c>
      <c r="B35" s="697"/>
      <c r="C35" s="398">
        <f>SUM(D35:F35)</f>
        <v>156888.36500000002</v>
      </c>
      <c r="D35" s="398">
        <f t="shared" ref="D35:J35" si="13">D23+D11</f>
        <v>111487.6</v>
      </c>
      <c r="E35" s="398">
        <f t="shared" si="13"/>
        <v>37434.6</v>
      </c>
      <c r="F35" s="398">
        <f t="shared" si="13"/>
        <v>7966.165</v>
      </c>
      <c r="G35" s="411">
        <f t="shared" si="13"/>
        <v>44884</v>
      </c>
      <c r="H35" s="398">
        <f t="shared" si="13"/>
        <v>22000</v>
      </c>
      <c r="I35" s="398">
        <f t="shared" si="13"/>
        <v>18463</v>
      </c>
      <c r="J35" s="412">
        <f t="shared" si="13"/>
        <v>199</v>
      </c>
      <c r="K35" s="398">
        <f>SUM(L35:N35)</f>
        <v>197550.36500000002</v>
      </c>
      <c r="L35" s="398">
        <f>L23+L11</f>
        <v>133487.6</v>
      </c>
      <c r="M35" s="398">
        <f>M23+M11</f>
        <v>55897.599999999999</v>
      </c>
      <c r="N35" s="412">
        <f>N23+N11</f>
        <v>8165.165</v>
      </c>
    </row>
    <row r="36" spans="1:14">
      <c r="A36" s="255"/>
      <c r="B36" s="254"/>
      <c r="C36" s="406"/>
      <c r="D36" s="406"/>
      <c r="E36" s="406"/>
      <c r="F36" s="406"/>
      <c r="I36" s="406"/>
      <c r="J36" s="406"/>
      <c r="K36" s="406"/>
      <c r="L36" s="406"/>
      <c r="M36" s="406"/>
      <c r="N36" s="406"/>
    </row>
  </sheetData>
  <mergeCells count="14">
    <mergeCell ref="A35:B35"/>
    <mergeCell ref="A9:A10"/>
    <mergeCell ref="B9:B10"/>
    <mergeCell ref="C9:C10"/>
    <mergeCell ref="K1:N1"/>
    <mergeCell ref="K3:N5"/>
    <mergeCell ref="K9:K10"/>
    <mergeCell ref="A6:N6"/>
    <mergeCell ref="B7:N7"/>
    <mergeCell ref="G9:G10"/>
    <mergeCell ref="H9:J9"/>
    <mergeCell ref="L9:N9"/>
    <mergeCell ref="D9:F9"/>
    <mergeCell ref="K2:N2"/>
  </mergeCells>
  <pageMargins left="0.98425196850393704" right="0.59055118110236227" top="0.78740157480314965" bottom="0.19685039370078741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S46"/>
  <sheetViews>
    <sheetView view="pageBreakPreview" zoomScale="55" zoomScaleNormal="75" zoomScaleSheetLayoutView="55" workbookViewId="0">
      <selection activeCell="A3" sqref="A3:R3"/>
    </sheetView>
  </sheetViews>
  <sheetFormatPr defaultRowHeight="12.75"/>
  <cols>
    <col min="1" max="1" width="27.85546875" style="418" customWidth="1"/>
    <col min="2" max="2" width="57.140625" style="418" customWidth="1"/>
    <col min="3" max="3" width="81.140625" style="418" customWidth="1"/>
    <col min="4" max="4" width="0.28515625" style="418" hidden="1" customWidth="1"/>
    <col min="5" max="6" width="8.85546875" style="418" hidden="1" customWidth="1"/>
    <col min="7" max="7" width="16.140625" style="418" hidden="1" customWidth="1"/>
    <col min="8" max="8" width="8.85546875" style="418" hidden="1" customWidth="1"/>
    <col min="9" max="9" width="16.85546875" style="418" hidden="1" customWidth="1"/>
    <col min="10" max="10" width="21.140625" style="418" hidden="1" customWidth="1"/>
    <col min="11" max="11" width="18.5703125" style="418" hidden="1" customWidth="1"/>
    <col min="12" max="12" width="17.7109375" style="418" hidden="1" customWidth="1"/>
    <col min="13" max="13" width="19.85546875" style="418" hidden="1" customWidth="1"/>
    <col min="14" max="14" width="21.7109375" style="418" hidden="1" customWidth="1"/>
    <col min="15" max="15" width="17.7109375" style="418" hidden="1" customWidth="1"/>
    <col min="16" max="16" width="16.28515625" style="418" customWidth="1"/>
    <col min="17" max="17" width="14.85546875" style="418" customWidth="1"/>
    <col min="18" max="18" width="15.28515625" style="418" customWidth="1"/>
    <col min="19" max="19" width="14.42578125" style="418" bestFit="1" customWidth="1"/>
    <col min="20" max="256" width="9.140625" style="418"/>
    <col min="257" max="257" width="27.85546875" style="418" customWidth="1"/>
    <col min="258" max="258" width="45.5703125" style="418" customWidth="1"/>
    <col min="259" max="259" width="78.85546875" style="418" customWidth="1"/>
    <col min="260" max="271" width="0" style="418" hidden="1" customWidth="1"/>
    <col min="272" max="272" width="16.28515625" style="418" customWidth="1"/>
    <col min="273" max="273" width="14.85546875" style="418" customWidth="1"/>
    <col min="274" max="274" width="15.28515625" style="418" customWidth="1"/>
    <col min="275" max="275" width="13.7109375" style="418" bestFit="1" customWidth="1"/>
    <col min="276" max="512" width="9.140625" style="418"/>
    <col min="513" max="513" width="27.85546875" style="418" customWidth="1"/>
    <col min="514" max="514" width="45.5703125" style="418" customWidth="1"/>
    <col min="515" max="515" width="78.85546875" style="418" customWidth="1"/>
    <col min="516" max="527" width="0" style="418" hidden="1" customWidth="1"/>
    <col min="528" max="528" width="16.28515625" style="418" customWidth="1"/>
    <col min="529" max="529" width="14.85546875" style="418" customWidth="1"/>
    <col min="530" max="530" width="15.28515625" style="418" customWidth="1"/>
    <col min="531" max="531" width="13.7109375" style="418" bestFit="1" customWidth="1"/>
    <col min="532" max="768" width="9.140625" style="418"/>
    <col min="769" max="769" width="27.85546875" style="418" customWidth="1"/>
    <col min="770" max="770" width="45.5703125" style="418" customWidth="1"/>
    <col min="771" max="771" width="78.85546875" style="418" customWidth="1"/>
    <col min="772" max="783" width="0" style="418" hidden="1" customWidth="1"/>
    <col min="784" max="784" width="16.28515625" style="418" customWidth="1"/>
    <col min="785" max="785" width="14.85546875" style="418" customWidth="1"/>
    <col min="786" max="786" width="15.28515625" style="418" customWidth="1"/>
    <col min="787" max="787" width="13.7109375" style="418" bestFit="1" customWidth="1"/>
    <col min="788" max="1024" width="9.140625" style="418"/>
    <col min="1025" max="1025" width="27.85546875" style="418" customWidth="1"/>
    <col min="1026" max="1026" width="45.5703125" style="418" customWidth="1"/>
    <col min="1027" max="1027" width="78.85546875" style="418" customWidth="1"/>
    <col min="1028" max="1039" width="0" style="418" hidden="1" customWidth="1"/>
    <col min="1040" max="1040" width="16.28515625" style="418" customWidth="1"/>
    <col min="1041" max="1041" width="14.85546875" style="418" customWidth="1"/>
    <col min="1042" max="1042" width="15.28515625" style="418" customWidth="1"/>
    <col min="1043" max="1043" width="13.7109375" style="418" bestFit="1" customWidth="1"/>
    <col min="1044" max="1280" width="9.140625" style="418"/>
    <col min="1281" max="1281" width="27.85546875" style="418" customWidth="1"/>
    <col min="1282" max="1282" width="45.5703125" style="418" customWidth="1"/>
    <col min="1283" max="1283" width="78.85546875" style="418" customWidth="1"/>
    <col min="1284" max="1295" width="0" style="418" hidden="1" customWidth="1"/>
    <col min="1296" max="1296" width="16.28515625" style="418" customWidth="1"/>
    <col min="1297" max="1297" width="14.85546875" style="418" customWidth="1"/>
    <col min="1298" max="1298" width="15.28515625" style="418" customWidth="1"/>
    <col min="1299" max="1299" width="13.7109375" style="418" bestFit="1" customWidth="1"/>
    <col min="1300" max="1536" width="9.140625" style="418"/>
    <col min="1537" max="1537" width="27.85546875" style="418" customWidth="1"/>
    <col min="1538" max="1538" width="45.5703125" style="418" customWidth="1"/>
    <col min="1539" max="1539" width="78.85546875" style="418" customWidth="1"/>
    <col min="1540" max="1551" width="0" style="418" hidden="1" customWidth="1"/>
    <col min="1552" max="1552" width="16.28515625" style="418" customWidth="1"/>
    <col min="1553" max="1553" width="14.85546875" style="418" customWidth="1"/>
    <col min="1554" max="1554" width="15.28515625" style="418" customWidth="1"/>
    <col min="1555" max="1555" width="13.7109375" style="418" bestFit="1" customWidth="1"/>
    <col min="1556" max="1792" width="9.140625" style="418"/>
    <col min="1793" max="1793" width="27.85546875" style="418" customWidth="1"/>
    <col min="1794" max="1794" width="45.5703125" style="418" customWidth="1"/>
    <col min="1795" max="1795" width="78.85546875" style="418" customWidth="1"/>
    <col min="1796" max="1807" width="0" style="418" hidden="1" customWidth="1"/>
    <col min="1808" max="1808" width="16.28515625" style="418" customWidth="1"/>
    <col min="1809" max="1809" width="14.85546875" style="418" customWidth="1"/>
    <col min="1810" max="1810" width="15.28515625" style="418" customWidth="1"/>
    <col min="1811" max="1811" width="13.7109375" style="418" bestFit="1" customWidth="1"/>
    <col min="1812" max="2048" width="9.140625" style="418"/>
    <col min="2049" max="2049" width="27.85546875" style="418" customWidth="1"/>
    <col min="2050" max="2050" width="45.5703125" style="418" customWidth="1"/>
    <col min="2051" max="2051" width="78.85546875" style="418" customWidth="1"/>
    <col min="2052" max="2063" width="0" style="418" hidden="1" customWidth="1"/>
    <col min="2064" max="2064" width="16.28515625" style="418" customWidth="1"/>
    <col min="2065" max="2065" width="14.85546875" style="418" customWidth="1"/>
    <col min="2066" max="2066" width="15.28515625" style="418" customWidth="1"/>
    <col min="2067" max="2067" width="13.7109375" style="418" bestFit="1" customWidth="1"/>
    <col min="2068" max="2304" width="9.140625" style="418"/>
    <col min="2305" max="2305" width="27.85546875" style="418" customWidth="1"/>
    <col min="2306" max="2306" width="45.5703125" style="418" customWidth="1"/>
    <col min="2307" max="2307" width="78.85546875" style="418" customWidth="1"/>
    <col min="2308" max="2319" width="0" style="418" hidden="1" customWidth="1"/>
    <col min="2320" max="2320" width="16.28515625" style="418" customWidth="1"/>
    <col min="2321" max="2321" width="14.85546875" style="418" customWidth="1"/>
    <col min="2322" max="2322" width="15.28515625" style="418" customWidth="1"/>
    <col min="2323" max="2323" width="13.7109375" style="418" bestFit="1" customWidth="1"/>
    <col min="2324" max="2560" width="9.140625" style="418"/>
    <col min="2561" max="2561" width="27.85546875" style="418" customWidth="1"/>
    <col min="2562" max="2562" width="45.5703125" style="418" customWidth="1"/>
    <col min="2563" max="2563" width="78.85546875" style="418" customWidth="1"/>
    <col min="2564" max="2575" width="0" style="418" hidden="1" customWidth="1"/>
    <col min="2576" max="2576" width="16.28515625" style="418" customWidth="1"/>
    <col min="2577" max="2577" width="14.85546875" style="418" customWidth="1"/>
    <col min="2578" max="2578" width="15.28515625" style="418" customWidth="1"/>
    <col min="2579" max="2579" width="13.7109375" style="418" bestFit="1" customWidth="1"/>
    <col min="2580" max="2816" width="9.140625" style="418"/>
    <col min="2817" max="2817" width="27.85546875" style="418" customWidth="1"/>
    <col min="2818" max="2818" width="45.5703125" style="418" customWidth="1"/>
    <col min="2819" max="2819" width="78.85546875" style="418" customWidth="1"/>
    <col min="2820" max="2831" width="0" style="418" hidden="1" customWidth="1"/>
    <col min="2832" max="2832" width="16.28515625" style="418" customWidth="1"/>
    <col min="2833" max="2833" width="14.85546875" style="418" customWidth="1"/>
    <col min="2834" max="2834" width="15.28515625" style="418" customWidth="1"/>
    <col min="2835" max="2835" width="13.7109375" style="418" bestFit="1" customWidth="1"/>
    <col min="2836" max="3072" width="9.140625" style="418"/>
    <col min="3073" max="3073" width="27.85546875" style="418" customWidth="1"/>
    <col min="3074" max="3074" width="45.5703125" style="418" customWidth="1"/>
    <col min="3075" max="3075" width="78.85546875" style="418" customWidth="1"/>
    <col min="3076" max="3087" width="0" style="418" hidden="1" customWidth="1"/>
    <col min="3088" max="3088" width="16.28515625" style="418" customWidth="1"/>
    <col min="3089" max="3089" width="14.85546875" style="418" customWidth="1"/>
    <col min="3090" max="3090" width="15.28515625" style="418" customWidth="1"/>
    <col min="3091" max="3091" width="13.7109375" style="418" bestFit="1" customWidth="1"/>
    <col min="3092" max="3328" width="9.140625" style="418"/>
    <col min="3329" max="3329" width="27.85546875" style="418" customWidth="1"/>
    <col min="3330" max="3330" width="45.5703125" style="418" customWidth="1"/>
    <col min="3331" max="3331" width="78.85546875" style="418" customWidth="1"/>
    <col min="3332" max="3343" width="0" style="418" hidden="1" customWidth="1"/>
    <col min="3344" max="3344" width="16.28515625" style="418" customWidth="1"/>
    <col min="3345" max="3345" width="14.85546875" style="418" customWidth="1"/>
    <col min="3346" max="3346" width="15.28515625" style="418" customWidth="1"/>
    <col min="3347" max="3347" width="13.7109375" style="418" bestFit="1" customWidth="1"/>
    <col min="3348" max="3584" width="9.140625" style="418"/>
    <col min="3585" max="3585" width="27.85546875" style="418" customWidth="1"/>
    <col min="3586" max="3586" width="45.5703125" style="418" customWidth="1"/>
    <col min="3587" max="3587" width="78.85546875" style="418" customWidth="1"/>
    <col min="3588" max="3599" width="0" style="418" hidden="1" customWidth="1"/>
    <col min="3600" max="3600" width="16.28515625" style="418" customWidth="1"/>
    <col min="3601" max="3601" width="14.85546875" style="418" customWidth="1"/>
    <col min="3602" max="3602" width="15.28515625" style="418" customWidth="1"/>
    <col min="3603" max="3603" width="13.7109375" style="418" bestFit="1" customWidth="1"/>
    <col min="3604" max="3840" width="9.140625" style="418"/>
    <col min="3841" max="3841" width="27.85546875" style="418" customWidth="1"/>
    <col min="3842" max="3842" width="45.5703125" style="418" customWidth="1"/>
    <col min="3843" max="3843" width="78.85546875" style="418" customWidth="1"/>
    <col min="3844" max="3855" width="0" style="418" hidden="1" customWidth="1"/>
    <col min="3856" max="3856" width="16.28515625" style="418" customWidth="1"/>
    <col min="3857" max="3857" width="14.85546875" style="418" customWidth="1"/>
    <col min="3858" max="3858" width="15.28515625" style="418" customWidth="1"/>
    <col min="3859" max="3859" width="13.7109375" style="418" bestFit="1" customWidth="1"/>
    <col min="3860" max="4096" width="9.140625" style="418"/>
    <col min="4097" max="4097" width="27.85546875" style="418" customWidth="1"/>
    <col min="4098" max="4098" width="45.5703125" style="418" customWidth="1"/>
    <col min="4099" max="4099" width="78.85546875" style="418" customWidth="1"/>
    <col min="4100" max="4111" width="0" style="418" hidden="1" customWidth="1"/>
    <col min="4112" max="4112" width="16.28515625" style="418" customWidth="1"/>
    <col min="4113" max="4113" width="14.85546875" style="418" customWidth="1"/>
    <col min="4114" max="4114" width="15.28515625" style="418" customWidth="1"/>
    <col min="4115" max="4115" width="13.7109375" style="418" bestFit="1" customWidth="1"/>
    <col min="4116" max="4352" width="9.140625" style="418"/>
    <col min="4353" max="4353" width="27.85546875" style="418" customWidth="1"/>
    <col min="4354" max="4354" width="45.5703125" style="418" customWidth="1"/>
    <col min="4355" max="4355" width="78.85546875" style="418" customWidth="1"/>
    <col min="4356" max="4367" width="0" style="418" hidden="1" customWidth="1"/>
    <col min="4368" max="4368" width="16.28515625" style="418" customWidth="1"/>
    <col min="4369" max="4369" width="14.85546875" style="418" customWidth="1"/>
    <col min="4370" max="4370" width="15.28515625" style="418" customWidth="1"/>
    <col min="4371" max="4371" width="13.7109375" style="418" bestFit="1" customWidth="1"/>
    <col min="4372" max="4608" width="9.140625" style="418"/>
    <col min="4609" max="4609" width="27.85546875" style="418" customWidth="1"/>
    <col min="4610" max="4610" width="45.5703125" style="418" customWidth="1"/>
    <col min="4611" max="4611" width="78.85546875" style="418" customWidth="1"/>
    <col min="4612" max="4623" width="0" style="418" hidden="1" customWidth="1"/>
    <col min="4624" max="4624" width="16.28515625" style="418" customWidth="1"/>
    <col min="4625" max="4625" width="14.85546875" style="418" customWidth="1"/>
    <col min="4626" max="4626" width="15.28515625" style="418" customWidth="1"/>
    <col min="4627" max="4627" width="13.7109375" style="418" bestFit="1" customWidth="1"/>
    <col min="4628" max="4864" width="9.140625" style="418"/>
    <col min="4865" max="4865" width="27.85546875" style="418" customWidth="1"/>
    <col min="4866" max="4866" width="45.5703125" style="418" customWidth="1"/>
    <col min="4867" max="4867" width="78.85546875" style="418" customWidth="1"/>
    <col min="4868" max="4879" width="0" style="418" hidden="1" customWidth="1"/>
    <col min="4880" max="4880" width="16.28515625" style="418" customWidth="1"/>
    <col min="4881" max="4881" width="14.85546875" style="418" customWidth="1"/>
    <col min="4882" max="4882" width="15.28515625" style="418" customWidth="1"/>
    <col min="4883" max="4883" width="13.7109375" style="418" bestFit="1" customWidth="1"/>
    <col min="4884" max="5120" width="9.140625" style="418"/>
    <col min="5121" max="5121" width="27.85546875" style="418" customWidth="1"/>
    <col min="5122" max="5122" width="45.5703125" style="418" customWidth="1"/>
    <col min="5123" max="5123" width="78.85546875" style="418" customWidth="1"/>
    <col min="5124" max="5135" width="0" style="418" hidden="1" customWidth="1"/>
    <col min="5136" max="5136" width="16.28515625" style="418" customWidth="1"/>
    <col min="5137" max="5137" width="14.85546875" style="418" customWidth="1"/>
    <col min="5138" max="5138" width="15.28515625" style="418" customWidth="1"/>
    <col min="5139" max="5139" width="13.7109375" style="418" bestFit="1" customWidth="1"/>
    <col min="5140" max="5376" width="9.140625" style="418"/>
    <col min="5377" max="5377" width="27.85546875" style="418" customWidth="1"/>
    <col min="5378" max="5378" width="45.5703125" style="418" customWidth="1"/>
    <col min="5379" max="5379" width="78.85546875" style="418" customWidth="1"/>
    <col min="5380" max="5391" width="0" style="418" hidden="1" customWidth="1"/>
    <col min="5392" max="5392" width="16.28515625" style="418" customWidth="1"/>
    <col min="5393" max="5393" width="14.85546875" style="418" customWidth="1"/>
    <col min="5394" max="5394" width="15.28515625" style="418" customWidth="1"/>
    <col min="5395" max="5395" width="13.7109375" style="418" bestFit="1" customWidth="1"/>
    <col min="5396" max="5632" width="9.140625" style="418"/>
    <col min="5633" max="5633" width="27.85546875" style="418" customWidth="1"/>
    <col min="5634" max="5634" width="45.5703125" style="418" customWidth="1"/>
    <col min="5635" max="5635" width="78.85546875" style="418" customWidth="1"/>
    <col min="5636" max="5647" width="0" style="418" hidden="1" customWidth="1"/>
    <col min="5648" max="5648" width="16.28515625" style="418" customWidth="1"/>
    <col min="5649" max="5649" width="14.85546875" style="418" customWidth="1"/>
    <col min="5650" max="5650" width="15.28515625" style="418" customWidth="1"/>
    <col min="5651" max="5651" width="13.7109375" style="418" bestFit="1" customWidth="1"/>
    <col min="5652" max="5888" width="9.140625" style="418"/>
    <col min="5889" max="5889" width="27.85546875" style="418" customWidth="1"/>
    <col min="5890" max="5890" width="45.5703125" style="418" customWidth="1"/>
    <col min="5891" max="5891" width="78.85546875" style="418" customWidth="1"/>
    <col min="5892" max="5903" width="0" style="418" hidden="1" customWidth="1"/>
    <col min="5904" max="5904" width="16.28515625" style="418" customWidth="1"/>
    <col min="5905" max="5905" width="14.85546875" style="418" customWidth="1"/>
    <col min="5906" max="5906" width="15.28515625" style="418" customWidth="1"/>
    <col min="5907" max="5907" width="13.7109375" style="418" bestFit="1" customWidth="1"/>
    <col min="5908" max="6144" width="9.140625" style="418"/>
    <col min="6145" max="6145" width="27.85546875" style="418" customWidth="1"/>
    <col min="6146" max="6146" width="45.5703125" style="418" customWidth="1"/>
    <col min="6147" max="6147" width="78.85546875" style="418" customWidth="1"/>
    <col min="6148" max="6159" width="0" style="418" hidden="1" customWidth="1"/>
    <col min="6160" max="6160" width="16.28515625" style="418" customWidth="1"/>
    <col min="6161" max="6161" width="14.85546875" style="418" customWidth="1"/>
    <col min="6162" max="6162" width="15.28515625" style="418" customWidth="1"/>
    <col min="6163" max="6163" width="13.7109375" style="418" bestFit="1" customWidth="1"/>
    <col min="6164" max="6400" width="9.140625" style="418"/>
    <col min="6401" max="6401" width="27.85546875" style="418" customWidth="1"/>
    <col min="6402" max="6402" width="45.5703125" style="418" customWidth="1"/>
    <col min="6403" max="6403" width="78.85546875" style="418" customWidth="1"/>
    <col min="6404" max="6415" width="0" style="418" hidden="1" customWidth="1"/>
    <col min="6416" max="6416" width="16.28515625" style="418" customWidth="1"/>
    <col min="6417" max="6417" width="14.85546875" style="418" customWidth="1"/>
    <col min="6418" max="6418" width="15.28515625" style="418" customWidth="1"/>
    <col min="6419" max="6419" width="13.7109375" style="418" bestFit="1" customWidth="1"/>
    <col min="6420" max="6656" width="9.140625" style="418"/>
    <col min="6657" max="6657" width="27.85546875" style="418" customWidth="1"/>
    <col min="6658" max="6658" width="45.5703125" style="418" customWidth="1"/>
    <col min="6659" max="6659" width="78.85546875" style="418" customWidth="1"/>
    <col min="6660" max="6671" width="0" style="418" hidden="1" customWidth="1"/>
    <col min="6672" max="6672" width="16.28515625" style="418" customWidth="1"/>
    <col min="6673" max="6673" width="14.85546875" style="418" customWidth="1"/>
    <col min="6674" max="6674" width="15.28515625" style="418" customWidth="1"/>
    <col min="6675" max="6675" width="13.7109375" style="418" bestFit="1" customWidth="1"/>
    <col min="6676" max="6912" width="9.140625" style="418"/>
    <col min="6913" max="6913" width="27.85546875" style="418" customWidth="1"/>
    <col min="6914" max="6914" width="45.5703125" style="418" customWidth="1"/>
    <col min="6915" max="6915" width="78.85546875" style="418" customWidth="1"/>
    <col min="6916" max="6927" width="0" style="418" hidden="1" customWidth="1"/>
    <col min="6928" max="6928" width="16.28515625" style="418" customWidth="1"/>
    <col min="6929" max="6929" width="14.85546875" style="418" customWidth="1"/>
    <col min="6930" max="6930" width="15.28515625" style="418" customWidth="1"/>
    <col min="6931" max="6931" width="13.7109375" style="418" bestFit="1" customWidth="1"/>
    <col min="6932" max="7168" width="9.140625" style="418"/>
    <col min="7169" max="7169" width="27.85546875" style="418" customWidth="1"/>
    <col min="7170" max="7170" width="45.5703125" style="418" customWidth="1"/>
    <col min="7171" max="7171" width="78.85546875" style="418" customWidth="1"/>
    <col min="7172" max="7183" width="0" style="418" hidden="1" customWidth="1"/>
    <col min="7184" max="7184" width="16.28515625" style="418" customWidth="1"/>
    <col min="7185" max="7185" width="14.85546875" style="418" customWidth="1"/>
    <col min="7186" max="7186" width="15.28515625" style="418" customWidth="1"/>
    <col min="7187" max="7187" width="13.7109375" style="418" bestFit="1" customWidth="1"/>
    <col min="7188" max="7424" width="9.140625" style="418"/>
    <col min="7425" max="7425" width="27.85546875" style="418" customWidth="1"/>
    <col min="7426" max="7426" width="45.5703125" style="418" customWidth="1"/>
    <col min="7427" max="7427" width="78.85546875" style="418" customWidth="1"/>
    <col min="7428" max="7439" width="0" style="418" hidden="1" customWidth="1"/>
    <col min="7440" max="7440" width="16.28515625" style="418" customWidth="1"/>
    <col min="7441" max="7441" width="14.85546875" style="418" customWidth="1"/>
    <col min="7442" max="7442" width="15.28515625" style="418" customWidth="1"/>
    <col min="7443" max="7443" width="13.7109375" style="418" bestFit="1" customWidth="1"/>
    <col min="7444" max="7680" width="9.140625" style="418"/>
    <col min="7681" max="7681" width="27.85546875" style="418" customWidth="1"/>
    <col min="7682" max="7682" width="45.5703125" style="418" customWidth="1"/>
    <col min="7683" max="7683" width="78.85546875" style="418" customWidth="1"/>
    <col min="7684" max="7695" width="0" style="418" hidden="1" customWidth="1"/>
    <col min="7696" max="7696" width="16.28515625" style="418" customWidth="1"/>
    <col min="7697" max="7697" width="14.85546875" style="418" customWidth="1"/>
    <col min="7698" max="7698" width="15.28515625" style="418" customWidth="1"/>
    <col min="7699" max="7699" width="13.7109375" style="418" bestFit="1" customWidth="1"/>
    <col min="7700" max="7936" width="9.140625" style="418"/>
    <col min="7937" max="7937" width="27.85546875" style="418" customWidth="1"/>
    <col min="7938" max="7938" width="45.5703125" style="418" customWidth="1"/>
    <col min="7939" max="7939" width="78.85546875" style="418" customWidth="1"/>
    <col min="7940" max="7951" width="0" style="418" hidden="1" customWidth="1"/>
    <col min="7952" max="7952" width="16.28515625" style="418" customWidth="1"/>
    <col min="7953" max="7953" width="14.85546875" style="418" customWidth="1"/>
    <col min="7954" max="7954" width="15.28515625" style="418" customWidth="1"/>
    <col min="7955" max="7955" width="13.7109375" style="418" bestFit="1" customWidth="1"/>
    <col min="7956" max="8192" width="9.140625" style="418"/>
    <col min="8193" max="8193" width="27.85546875" style="418" customWidth="1"/>
    <col min="8194" max="8194" width="45.5703125" style="418" customWidth="1"/>
    <col min="8195" max="8195" width="78.85546875" style="418" customWidth="1"/>
    <col min="8196" max="8207" width="0" style="418" hidden="1" customWidth="1"/>
    <col min="8208" max="8208" width="16.28515625" style="418" customWidth="1"/>
    <col min="8209" max="8209" width="14.85546875" style="418" customWidth="1"/>
    <col min="8210" max="8210" width="15.28515625" style="418" customWidth="1"/>
    <col min="8211" max="8211" width="13.7109375" style="418" bestFit="1" customWidth="1"/>
    <col min="8212" max="8448" width="9.140625" style="418"/>
    <col min="8449" max="8449" width="27.85546875" style="418" customWidth="1"/>
    <col min="8450" max="8450" width="45.5703125" style="418" customWidth="1"/>
    <col min="8451" max="8451" width="78.85546875" style="418" customWidth="1"/>
    <col min="8452" max="8463" width="0" style="418" hidden="1" customWidth="1"/>
    <col min="8464" max="8464" width="16.28515625" style="418" customWidth="1"/>
    <col min="8465" max="8465" width="14.85546875" style="418" customWidth="1"/>
    <col min="8466" max="8466" width="15.28515625" style="418" customWidth="1"/>
    <col min="8467" max="8467" width="13.7109375" style="418" bestFit="1" customWidth="1"/>
    <col min="8468" max="8704" width="9.140625" style="418"/>
    <col min="8705" max="8705" width="27.85546875" style="418" customWidth="1"/>
    <col min="8706" max="8706" width="45.5703125" style="418" customWidth="1"/>
    <col min="8707" max="8707" width="78.85546875" style="418" customWidth="1"/>
    <col min="8708" max="8719" width="0" style="418" hidden="1" customWidth="1"/>
    <col min="8720" max="8720" width="16.28515625" style="418" customWidth="1"/>
    <col min="8721" max="8721" width="14.85546875" style="418" customWidth="1"/>
    <col min="8722" max="8722" width="15.28515625" style="418" customWidth="1"/>
    <col min="8723" max="8723" width="13.7109375" style="418" bestFit="1" customWidth="1"/>
    <col min="8724" max="8960" width="9.140625" style="418"/>
    <col min="8961" max="8961" width="27.85546875" style="418" customWidth="1"/>
    <col min="8962" max="8962" width="45.5703125" style="418" customWidth="1"/>
    <col min="8963" max="8963" width="78.85546875" style="418" customWidth="1"/>
    <col min="8964" max="8975" width="0" style="418" hidden="1" customWidth="1"/>
    <col min="8976" max="8976" width="16.28515625" style="418" customWidth="1"/>
    <col min="8977" max="8977" width="14.85546875" style="418" customWidth="1"/>
    <col min="8978" max="8978" width="15.28515625" style="418" customWidth="1"/>
    <col min="8979" max="8979" width="13.7109375" style="418" bestFit="1" customWidth="1"/>
    <col min="8980" max="9216" width="9.140625" style="418"/>
    <col min="9217" max="9217" width="27.85546875" style="418" customWidth="1"/>
    <col min="9218" max="9218" width="45.5703125" style="418" customWidth="1"/>
    <col min="9219" max="9219" width="78.85546875" style="418" customWidth="1"/>
    <col min="9220" max="9231" width="0" style="418" hidden="1" customWidth="1"/>
    <col min="9232" max="9232" width="16.28515625" style="418" customWidth="1"/>
    <col min="9233" max="9233" width="14.85546875" style="418" customWidth="1"/>
    <col min="9234" max="9234" width="15.28515625" style="418" customWidth="1"/>
    <col min="9235" max="9235" width="13.7109375" style="418" bestFit="1" customWidth="1"/>
    <col min="9236" max="9472" width="9.140625" style="418"/>
    <col min="9473" max="9473" width="27.85546875" style="418" customWidth="1"/>
    <col min="9474" max="9474" width="45.5703125" style="418" customWidth="1"/>
    <col min="9475" max="9475" width="78.85546875" style="418" customWidth="1"/>
    <col min="9476" max="9487" width="0" style="418" hidden="1" customWidth="1"/>
    <col min="9488" max="9488" width="16.28515625" style="418" customWidth="1"/>
    <col min="9489" max="9489" width="14.85546875" style="418" customWidth="1"/>
    <col min="9490" max="9490" width="15.28515625" style="418" customWidth="1"/>
    <col min="9491" max="9491" width="13.7109375" style="418" bestFit="1" customWidth="1"/>
    <col min="9492" max="9728" width="9.140625" style="418"/>
    <col min="9729" max="9729" width="27.85546875" style="418" customWidth="1"/>
    <col min="9730" max="9730" width="45.5703125" style="418" customWidth="1"/>
    <col min="9731" max="9731" width="78.85546875" style="418" customWidth="1"/>
    <col min="9732" max="9743" width="0" style="418" hidden="1" customWidth="1"/>
    <col min="9744" max="9744" width="16.28515625" style="418" customWidth="1"/>
    <col min="9745" max="9745" width="14.85546875" style="418" customWidth="1"/>
    <col min="9746" max="9746" width="15.28515625" style="418" customWidth="1"/>
    <col min="9747" max="9747" width="13.7109375" style="418" bestFit="1" customWidth="1"/>
    <col min="9748" max="9984" width="9.140625" style="418"/>
    <col min="9985" max="9985" width="27.85546875" style="418" customWidth="1"/>
    <col min="9986" max="9986" width="45.5703125" style="418" customWidth="1"/>
    <col min="9987" max="9987" width="78.85546875" style="418" customWidth="1"/>
    <col min="9988" max="9999" width="0" style="418" hidden="1" customWidth="1"/>
    <col min="10000" max="10000" width="16.28515625" style="418" customWidth="1"/>
    <col min="10001" max="10001" width="14.85546875" style="418" customWidth="1"/>
    <col min="10002" max="10002" width="15.28515625" style="418" customWidth="1"/>
    <col min="10003" max="10003" width="13.7109375" style="418" bestFit="1" customWidth="1"/>
    <col min="10004" max="10240" width="9.140625" style="418"/>
    <col min="10241" max="10241" width="27.85546875" style="418" customWidth="1"/>
    <col min="10242" max="10242" width="45.5703125" style="418" customWidth="1"/>
    <col min="10243" max="10243" width="78.85546875" style="418" customWidth="1"/>
    <col min="10244" max="10255" width="0" style="418" hidden="1" customWidth="1"/>
    <col min="10256" max="10256" width="16.28515625" style="418" customWidth="1"/>
    <col min="10257" max="10257" width="14.85546875" style="418" customWidth="1"/>
    <col min="10258" max="10258" width="15.28515625" style="418" customWidth="1"/>
    <col min="10259" max="10259" width="13.7109375" style="418" bestFit="1" customWidth="1"/>
    <col min="10260" max="10496" width="9.140625" style="418"/>
    <col min="10497" max="10497" width="27.85546875" style="418" customWidth="1"/>
    <col min="10498" max="10498" width="45.5703125" style="418" customWidth="1"/>
    <col min="10499" max="10499" width="78.85546875" style="418" customWidth="1"/>
    <col min="10500" max="10511" width="0" style="418" hidden="1" customWidth="1"/>
    <col min="10512" max="10512" width="16.28515625" style="418" customWidth="1"/>
    <col min="10513" max="10513" width="14.85546875" style="418" customWidth="1"/>
    <col min="10514" max="10514" width="15.28515625" style="418" customWidth="1"/>
    <col min="10515" max="10515" width="13.7109375" style="418" bestFit="1" customWidth="1"/>
    <col min="10516" max="10752" width="9.140625" style="418"/>
    <col min="10753" max="10753" width="27.85546875" style="418" customWidth="1"/>
    <col min="10754" max="10754" width="45.5703125" style="418" customWidth="1"/>
    <col min="10755" max="10755" width="78.85546875" style="418" customWidth="1"/>
    <col min="10756" max="10767" width="0" style="418" hidden="1" customWidth="1"/>
    <col min="10768" max="10768" width="16.28515625" style="418" customWidth="1"/>
    <col min="10769" max="10769" width="14.85546875" style="418" customWidth="1"/>
    <col min="10770" max="10770" width="15.28515625" style="418" customWidth="1"/>
    <col min="10771" max="10771" width="13.7109375" style="418" bestFit="1" customWidth="1"/>
    <col min="10772" max="11008" width="9.140625" style="418"/>
    <col min="11009" max="11009" width="27.85546875" style="418" customWidth="1"/>
    <col min="11010" max="11010" width="45.5703125" style="418" customWidth="1"/>
    <col min="11011" max="11011" width="78.85546875" style="418" customWidth="1"/>
    <col min="11012" max="11023" width="0" style="418" hidden="1" customWidth="1"/>
    <col min="11024" max="11024" width="16.28515625" style="418" customWidth="1"/>
    <col min="11025" max="11025" width="14.85546875" style="418" customWidth="1"/>
    <col min="11026" max="11026" width="15.28515625" style="418" customWidth="1"/>
    <col min="11027" max="11027" width="13.7109375" style="418" bestFit="1" customWidth="1"/>
    <col min="11028" max="11264" width="9.140625" style="418"/>
    <col min="11265" max="11265" width="27.85546875" style="418" customWidth="1"/>
    <col min="11266" max="11266" width="45.5703125" style="418" customWidth="1"/>
    <col min="11267" max="11267" width="78.85546875" style="418" customWidth="1"/>
    <col min="11268" max="11279" width="0" style="418" hidden="1" customWidth="1"/>
    <col min="11280" max="11280" width="16.28515625" style="418" customWidth="1"/>
    <col min="11281" max="11281" width="14.85546875" style="418" customWidth="1"/>
    <col min="11282" max="11282" width="15.28515625" style="418" customWidth="1"/>
    <col min="11283" max="11283" width="13.7109375" style="418" bestFit="1" customWidth="1"/>
    <col min="11284" max="11520" width="9.140625" style="418"/>
    <col min="11521" max="11521" width="27.85546875" style="418" customWidth="1"/>
    <col min="11522" max="11522" width="45.5703125" style="418" customWidth="1"/>
    <col min="11523" max="11523" width="78.85546875" style="418" customWidth="1"/>
    <col min="11524" max="11535" width="0" style="418" hidden="1" customWidth="1"/>
    <col min="11536" max="11536" width="16.28515625" style="418" customWidth="1"/>
    <col min="11537" max="11537" width="14.85546875" style="418" customWidth="1"/>
    <col min="11538" max="11538" width="15.28515625" style="418" customWidth="1"/>
    <col min="11539" max="11539" width="13.7109375" style="418" bestFit="1" customWidth="1"/>
    <col min="11540" max="11776" width="9.140625" style="418"/>
    <col min="11777" max="11777" width="27.85546875" style="418" customWidth="1"/>
    <col min="11778" max="11778" width="45.5703125" style="418" customWidth="1"/>
    <col min="11779" max="11779" width="78.85546875" style="418" customWidth="1"/>
    <col min="11780" max="11791" width="0" style="418" hidden="1" customWidth="1"/>
    <col min="11792" max="11792" width="16.28515625" style="418" customWidth="1"/>
    <col min="11793" max="11793" width="14.85546875" style="418" customWidth="1"/>
    <col min="11794" max="11794" width="15.28515625" style="418" customWidth="1"/>
    <col min="11795" max="11795" width="13.7109375" style="418" bestFit="1" customWidth="1"/>
    <col min="11796" max="12032" width="9.140625" style="418"/>
    <col min="12033" max="12033" width="27.85546875" style="418" customWidth="1"/>
    <col min="12034" max="12034" width="45.5703125" style="418" customWidth="1"/>
    <col min="12035" max="12035" width="78.85546875" style="418" customWidth="1"/>
    <col min="12036" max="12047" width="0" style="418" hidden="1" customWidth="1"/>
    <col min="12048" max="12048" width="16.28515625" style="418" customWidth="1"/>
    <col min="12049" max="12049" width="14.85546875" style="418" customWidth="1"/>
    <col min="12050" max="12050" width="15.28515625" style="418" customWidth="1"/>
    <col min="12051" max="12051" width="13.7109375" style="418" bestFit="1" customWidth="1"/>
    <col min="12052" max="12288" width="9.140625" style="418"/>
    <col min="12289" max="12289" width="27.85546875" style="418" customWidth="1"/>
    <col min="12290" max="12290" width="45.5703125" style="418" customWidth="1"/>
    <col min="12291" max="12291" width="78.85546875" style="418" customWidth="1"/>
    <col min="12292" max="12303" width="0" style="418" hidden="1" customWidth="1"/>
    <col min="12304" max="12304" width="16.28515625" style="418" customWidth="1"/>
    <col min="12305" max="12305" width="14.85546875" style="418" customWidth="1"/>
    <col min="12306" max="12306" width="15.28515625" style="418" customWidth="1"/>
    <col min="12307" max="12307" width="13.7109375" style="418" bestFit="1" customWidth="1"/>
    <col min="12308" max="12544" width="9.140625" style="418"/>
    <col min="12545" max="12545" width="27.85546875" style="418" customWidth="1"/>
    <col min="12546" max="12546" width="45.5703125" style="418" customWidth="1"/>
    <col min="12547" max="12547" width="78.85546875" style="418" customWidth="1"/>
    <col min="12548" max="12559" width="0" style="418" hidden="1" customWidth="1"/>
    <col min="12560" max="12560" width="16.28515625" style="418" customWidth="1"/>
    <col min="12561" max="12561" width="14.85546875" style="418" customWidth="1"/>
    <col min="12562" max="12562" width="15.28515625" style="418" customWidth="1"/>
    <col min="12563" max="12563" width="13.7109375" style="418" bestFit="1" customWidth="1"/>
    <col min="12564" max="12800" width="9.140625" style="418"/>
    <col min="12801" max="12801" width="27.85546875" style="418" customWidth="1"/>
    <col min="12802" max="12802" width="45.5703125" style="418" customWidth="1"/>
    <col min="12803" max="12803" width="78.85546875" style="418" customWidth="1"/>
    <col min="12804" max="12815" width="0" style="418" hidden="1" customWidth="1"/>
    <col min="12816" max="12816" width="16.28515625" style="418" customWidth="1"/>
    <col min="12817" max="12817" width="14.85546875" style="418" customWidth="1"/>
    <col min="12818" max="12818" width="15.28515625" style="418" customWidth="1"/>
    <col min="12819" max="12819" width="13.7109375" style="418" bestFit="1" customWidth="1"/>
    <col min="12820" max="13056" width="9.140625" style="418"/>
    <col min="13057" max="13057" width="27.85546875" style="418" customWidth="1"/>
    <col min="13058" max="13058" width="45.5703125" style="418" customWidth="1"/>
    <col min="13059" max="13059" width="78.85546875" style="418" customWidth="1"/>
    <col min="13060" max="13071" width="0" style="418" hidden="1" customWidth="1"/>
    <col min="13072" max="13072" width="16.28515625" style="418" customWidth="1"/>
    <col min="13073" max="13073" width="14.85546875" style="418" customWidth="1"/>
    <col min="13074" max="13074" width="15.28515625" style="418" customWidth="1"/>
    <col min="13075" max="13075" width="13.7109375" style="418" bestFit="1" customWidth="1"/>
    <col min="13076" max="13312" width="9.140625" style="418"/>
    <col min="13313" max="13313" width="27.85546875" style="418" customWidth="1"/>
    <col min="13314" max="13314" width="45.5703125" style="418" customWidth="1"/>
    <col min="13315" max="13315" width="78.85546875" style="418" customWidth="1"/>
    <col min="13316" max="13327" width="0" style="418" hidden="1" customWidth="1"/>
    <col min="13328" max="13328" width="16.28515625" style="418" customWidth="1"/>
    <col min="13329" max="13329" width="14.85546875" style="418" customWidth="1"/>
    <col min="13330" max="13330" width="15.28515625" style="418" customWidth="1"/>
    <col min="13331" max="13331" width="13.7109375" style="418" bestFit="1" customWidth="1"/>
    <col min="13332" max="13568" width="9.140625" style="418"/>
    <col min="13569" max="13569" width="27.85546875" style="418" customWidth="1"/>
    <col min="13570" max="13570" width="45.5703125" style="418" customWidth="1"/>
    <col min="13571" max="13571" width="78.85546875" style="418" customWidth="1"/>
    <col min="13572" max="13583" width="0" style="418" hidden="1" customWidth="1"/>
    <col min="13584" max="13584" width="16.28515625" style="418" customWidth="1"/>
    <col min="13585" max="13585" width="14.85546875" style="418" customWidth="1"/>
    <col min="13586" max="13586" width="15.28515625" style="418" customWidth="1"/>
    <col min="13587" max="13587" width="13.7109375" style="418" bestFit="1" customWidth="1"/>
    <col min="13588" max="13824" width="9.140625" style="418"/>
    <col min="13825" max="13825" width="27.85546875" style="418" customWidth="1"/>
    <col min="13826" max="13826" width="45.5703125" style="418" customWidth="1"/>
    <col min="13827" max="13827" width="78.85546875" style="418" customWidth="1"/>
    <col min="13828" max="13839" width="0" style="418" hidden="1" customWidth="1"/>
    <col min="13840" max="13840" width="16.28515625" style="418" customWidth="1"/>
    <col min="13841" max="13841" width="14.85546875" style="418" customWidth="1"/>
    <col min="13842" max="13842" width="15.28515625" style="418" customWidth="1"/>
    <col min="13843" max="13843" width="13.7109375" style="418" bestFit="1" customWidth="1"/>
    <col min="13844" max="14080" width="9.140625" style="418"/>
    <col min="14081" max="14081" width="27.85546875" style="418" customWidth="1"/>
    <col min="14082" max="14082" width="45.5703125" style="418" customWidth="1"/>
    <col min="14083" max="14083" width="78.85546875" style="418" customWidth="1"/>
    <col min="14084" max="14095" width="0" style="418" hidden="1" customWidth="1"/>
    <col min="14096" max="14096" width="16.28515625" style="418" customWidth="1"/>
    <col min="14097" max="14097" width="14.85546875" style="418" customWidth="1"/>
    <col min="14098" max="14098" width="15.28515625" style="418" customWidth="1"/>
    <col min="14099" max="14099" width="13.7109375" style="418" bestFit="1" customWidth="1"/>
    <col min="14100" max="14336" width="9.140625" style="418"/>
    <col min="14337" max="14337" width="27.85546875" style="418" customWidth="1"/>
    <col min="14338" max="14338" width="45.5703125" style="418" customWidth="1"/>
    <col min="14339" max="14339" width="78.85546875" style="418" customWidth="1"/>
    <col min="14340" max="14351" width="0" style="418" hidden="1" customWidth="1"/>
    <col min="14352" max="14352" width="16.28515625" style="418" customWidth="1"/>
    <col min="14353" max="14353" width="14.85546875" style="418" customWidth="1"/>
    <col min="14354" max="14354" width="15.28515625" style="418" customWidth="1"/>
    <col min="14355" max="14355" width="13.7109375" style="418" bestFit="1" customWidth="1"/>
    <col min="14356" max="14592" width="9.140625" style="418"/>
    <col min="14593" max="14593" width="27.85546875" style="418" customWidth="1"/>
    <col min="14594" max="14594" width="45.5703125" style="418" customWidth="1"/>
    <col min="14595" max="14595" width="78.85546875" style="418" customWidth="1"/>
    <col min="14596" max="14607" width="0" style="418" hidden="1" customWidth="1"/>
    <col min="14608" max="14608" width="16.28515625" style="418" customWidth="1"/>
    <col min="14609" max="14609" width="14.85546875" style="418" customWidth="1"/>
    <col min="14610" max="14610" width="15.28515625" style="418" customWidth="1"/>
    <col min="14611" max="14611" width="13.7109375" style="418" bestFit="1" customWidth="1"/>
    <col min="14612" max="14848" width="9.140625" style="418"/>
    <col min="14849" max="14849" width="27.85546875" style="418" customWidth="1"/>
    <col min="14850" max="14850" width="45.5703125" style="418" customWidth="1"/>
    <col min="14851" max="14851" width="78.85546875" style="418" customWidth="1"/>
    <col min="14852" max="14863" width="0" style="418" hidden="1" customWidth="1"/>
    <col min="14864" max="14864" width="16.28515625" style="418" customWidth="1"/>
    <col min="14865" max="14865" width="14.85546875" style="418" customWidth="1"/>
    <col min="14866" max="14866" width="15.28515625" style="418" customWidth="1"/>
    <col min="14867" max="14867" width="13.7109375" style="418" bestFit="1" customWidth="1"/>
    <col min="14868" max="15104" width="9.140625" style="418"/>
    <col min="15105" max="15105" width="27.85546875" style="418" customWidth="1"/>
    <col min="15106" max="15106" width="45.5703125" style="418" customWidth="1"/>
    <col min="15107" max="15107" width="78.85546875" style="418" customWidth="1"/>
    <col min="15108" max="15119" width="0" style="418" hidden="1" customWidth="1"/>
    <col min="15120" max="15120" width="16.28515625" style="418" customWidth="1"/>
    <col min="15121" max="15121" width="14.85546875" style="418" customWidth="1"/>
    <col min="15122" max="15122" width="15.28515625" style="418" customWidth="1"/>
    <col min="15123" max="15123" width="13.7109375" style="418" bestFit="1" customWidth="1"/>
    <col min="15124" max="15360" width="9.140625" style="418"/>
    <col min="15361" max="15361" width="27.85546875" style="418" customWidth="1"/>
    <col min="15362" max="15362" width="45.5703125" style="418" customWidth="1"/>
    <col min="15363" max="15363" width="78.85546875" style="418" customWidth="1"/>
    <col min="15364" max="15375" width="0" style="418" hidden="1" customWidth="1"/>
    <col min="15376" max="15376" width="16.28515625" style="418" customWidth="1"/>
    <col min="15377" max="15377" width="14.85546875" style="418" customWidth="1"/>
    <col min="15378" max="15378" width="15.28515625" style="418" customWidth="1"/>
    <col min="15379" max="15379" width="13.7109375" style="418" bestFit="1" customWidth="1"/>
    <col min="15380" max="15616" width="9.140625" style="418"/>
    <col min="15617" max="15617" width="27.85546875" style="418" customWidth="1"/>
    <col min="15618" max="15618" width="45.5703125" style="418" customWidth="1"/>
    <col min="15619" max="15619" width="78.85546875" style="418" customWidth="1"/>
    <col min="15620" max="15631" width="0" style="418" hidden="1" customWidth="1"/>
    <col min="15632" max="15632" width="16.28515625" style="418" customWidth="1"/>
    <col min="15633" max="15633" width="14.85546875" style="418" customWidth="1"/>
    <col min="15634" max="15634" width="15.28515625" style="418" customWidth="1"/>
    <col min="15635" max="15635" width="13.7109375" style="418" bestFit="1" customWidth="1"/>
    <col min="15636" max="15872" width="9.140625" style="418"/>
    <col min="15873" max="15873" width="27.85546875" style="418" customWidth="1"/>
    <col min="15874" max="15874" width="45.5703125" style="418" customWidth="1"/>
    <col min="15875" max="15875" width="78.85546875" style="418" customWidth="1"/>
    <col min="15876" max="15887" width="0" style="418" hidden="1" customWidth="1"/>
    <col min="15888" max="15888" width="16.28515625" style="418" customWidth="1"/>
    <col min="15889" max="15889" width="14.85546875" style="418" customWidth="1"/>
    <col min="15890" max="15890" width="15.28515625" style="418" customWidth="1"/>
    <col min="15891" max="15891" width="13.7109375" style="418" bestFit="1" customWidth="1"/>
    <col min="15892" max="16128" width="9.140625" style="418"/>
    <col min="16129" max="16129" width="27.85546875" style="418" customWidth="1"/>
    <col min="16130" max="16130" width="45.5703125" style="418" customWidth="1"/>
    <col min="16131" max="16131" width="78.85546875" style="418" customWidth="1"/>
    <col min="16132" max="16143" width="0" style="418" hidden="1" customWidth="1"/>
    <col min="16144" max="16144" width="16.28515625" style="418" customWidth="1"/>
    <col min="16145" max="16145" width="14.85546875" style="418" customWidth="1"/>
    <col min="16146" max="16146" width="15.28515625" style="418" customWidth="1"/>
    <col min="16147" max="16147" width="13.7109375" style="418" bestFit="1" customWidth="1"/>
    <col min="16148" max="16384" width="9.140625" style="418"/>
  </cols>
  <sheetData>
    <row r="1" spans="1:19" ht="21" customHeight="1">
      <c r="A1" s="416"/>
      <c r="B1" s="416"/>
      <c r="C1" s="417"/>
      <c r="D1" s="733" t="s">
        <v>1225</v>
      </c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</row>
    <row r="2" spans="1:19" ht="39.75" customHeight="1">
      <c r="A2" s="416"/>
      <c r="B2" s="416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734" t="s">
        <v>1226</v>
      </c>
      <c r="Q2" s="734"/>
      <c r="R2" s="734"/>
      <c r="S2" s="734"/>
    </row>
    <row r="3" spans="1:19" ht="42" customHeight="1">
      <c r="A3" s="735" t="s">
        <v>1224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</row>
    <row r="4" spans="1:19" ht="18" customHeight="1">
      <c r="A4" s="416"/>
      <c r="B4" s="416"/>
      <c r="C4" s="416"/>
      <c r="D4" s="420"/>
      <c r="E4" s="420"/>
      <c r="F4" s="420"/>
      <c r="G4" s="420"/>
      <c r="H4" s="420"/>
      <c r="I4" s="416"/>
      <c r="J4" s="416"/>
      <c r="K4" s="416"/>
      <c r="L4" s="416"/>
      <c r="M4" s="416"/>
      <c r="N4" s="416"/>
      <c r="O4" s="416"/>
      <c r="P4" s="416"/>
      <c r="Q4" s="736" t="s">
        <v>1084</v>
      </c>
      <c r="R4" s="736"/>
    </row>
    <row r="5" spans="1:19" ht="15" customHeight="1">
      <c r="A5" s="737" t="s">
        <v>1085</v>
      </c>
      <c r="B5" s="737" t="s">
        <v>1086</v>
      </c>
      <c r="C5" s="737" t="s">
        <v>1087</v>
      </c>
      <c r="D5" s="742" t="s">
        <v>1067</v>
      </c>
      <c r="E5" s="743"/>
      <c r="F5" s="744"/>
      <c r="G5" s="731" t="s">
        <v>1088</v>
      </c>
      <c r="H5" s="745"/>
      <c r="I5" s="732"/>
      <c r="J5" s="722" t="s">
        <v>1089</v>
      </c>
      <c r="K5" s="746"/>
      <c r="L5" s="723"/>
      <c r="M5" s="722" t="s">
        <v>1090</v>
      </c>
      <c r="N5" s="746"/>
      <c r="O5" s="723"/>
      <c r="P5" s="747" t="s">
        <v>1091</v>
      </c>
      <c r="Q5" s="748"/>
      <c r="R5" s="748"/>
      <c r="S5" s="749"/>
    </row>
    <row r="6" spans="1:19" ht="13.5" customHeight="1">
      <c r="A6" s="738"/>
      <c r="B6" s="740"/>
      <c r="C6" s="738"/>
      <c r="D6" s="750" t="s">
        <v>1092</v>
      </c>
      <c r="E6" s="750" t="s">
        <v>1093</v>
      </c>
      <c r="F6" s="750" t="s">
        <v>1094</v>
      </c>
      <c r="G6" s="752" t="s">
        <v>1040</v>
      </c>
      <c r="H6" s="731" t="s">
        <v>1095</v>
      </c>
      <c r="I6" s="732"/>
      <c r="J6" s="724" t="s">
        <v>1040</v>
      </c>
      <c r="K6" s="722" t="s">
        <v>1095</v>
      </c>
      <c r="L6" s="723"/>
      <c r="M6" s="724" t="s">
        <v>1040</v>
      </c>
      <c r="N6" s="722" t="s">
        <v>1095</v>
      </c>
      <c r="O6" s="723"/>
      <c r="P6" s="421" t="s">
        <v>1040</v>
      </c>
      <c r="Q6" s="422" t="s">
        <v>1095</v>
      </c>
      <c r="R6" s="422"/>
      <c r="S6" s="423"/>
    </row>
    <row r="7" spans="1:19" ht="45" customHeight="1">
      <c r="A7" s="739"/>
      <c r="B7" s="741"/>
      <c r="C7" s="739"/>
      <c r="D7" s="751"/>
      <c r="E7" s="751"/>
      <c r="F7" s="751"/>
      <c r="G7" s="753"/>
      <c r="H7" s="424" t="s">
        <v>1096</v>
      </c>
      <c r="I7" s="425" t="s">
        <v>1097</v>
      </c>
      <c r="J7" s="726"/>
      <c r="K7" s="426" t="s">
        <v>1098</v>
      </c>
      <c r="L7" s="426" t="s">
        <v>1099</v>
      </c>
      <c r="M7" s="726"/>
      <c r="N7" s="426" t="s">
        <v>1098</v>
      </c>
      <c r="O7" s="426" t="s">
        <v>1099</v>
      </c>
      <c r="P7" s="421"/>
      <c r="Q7" s="421" t="s">
        <v>1098</v>
      </c>
      <c r="R7" s="421" t="s">
        <v>1099</v>
      </c>
      <c r="S7" s="421" t="s">
        <v>1100</v>
      </c>
    </row>
    <row r="8" spans="1:19" ht="78.75" customHeight="1">
      <c r="A8" s="724" t="s">
        <v>1101</v>
      </c>
      <c r="B8" s="427" t="s">
        <v>1102</v>
      </c>
      <c r="C8" s="428" t="s">
        <v>1103</v>
      </c>
      <c r="D8" s="429"/>
      <c r="E8" s="429"/>
      <c r="F8" s="429"/>
      <c r="G8" s="430"/>
      <c r="H8" s="429"/>
      <c r="I8" s="430"/>
      <c r="J8" s="431"/>
      <c r="K8" s="431"/>
      <c r="L8" s="431"/>
      <c r="M8" s="431"/>
      <c r="N8" s="431"/>
      <c r="O8" s="431"/>
      <c r="P8" s="508">
        <f>SUM(Q8:S8)</f>
        <v>11370.300000000001</v>
      </c>
      <c r="Q8" s="508">
        <v>3152.9</v>
      </c>
      <c r="R8" s="508">
        <f>9499.7-1282.3</f>
        <v>8217.4000000000015</v>
      </c>
      <c r="S8" s="509"/>
    </row>
    <row r="9" spans="1:19" s="435" customFormat="1" ht="99.75" customHeight="1">
      <c r="A9" s="725"/>
      <c r="B9" s="432" t="s">
        <v>1104</v>
      </c>
      <c r="C9" s="432" t="s">
        <v>1105</v>
      </c>
      <c r="D9" s="429"/>
      <c r="E9" s="429"/>
      <c r="F9" s="429"/>
      <c r="G9" s="433">
        <v>5320</v>
      </c>
      <c r="H9" s="434"/>
      <c r="I9" s="434">
        <v>5320</v>
      </c>
      <c r="J9" s="431">
        <f>K9+L9</f>
        <v>76879.199999999997</v>
      </c>
      <c r="K9" s="431"/>
      <c r="L9" s="431">
        <v>76879.199999999997</v>
      </c>
      <c r="M9" s="431" t="e">
        <f t="shared" ref="M9:M23" si="0">N9+O9</f>
        <v>#REF!</v>
      </c>
      <c r="N9" s="431" t="e">
        <f>SUM(#REF!)</f>
        <v>#REF!</v>
      </c>
      <c r="O9" s="431">
        <v>0</v>
      </c>
      <c r="P9" s="508">
        <f t="shared" ref="P9:P23" si="1">SUM(Q9:S9)</f>
        <v>9425.5</v>
      </c>
      <c r="Q9" s="508">
        <v>6006.5</v>
      </c>
      <c r="R9" s="508">
        <v>3419</v>
      </c>
      <c r="S9" s="509"/>
    </row>
    <row r="10" spans="1:19" s="435" customFormat="1" ht="91.5" customHeight="1">
      <c r="A10" s="726"/>
      <c r="B10" s="432" t="s">
        <v>1106</v>
      </c>
      <c r="C10" s="432" t="s">
        <v>1107</v>
      </c>
      <c r="D10" s="429"/>
      <c r="E10" s="429"/>
      <c r="F10" s="429"/>
      <c r="G10" s="433"/>
      <c r="H10" s="434"/>
      <c r="I10" s="434"/>
      <c r="J10" s="431"/>
      <c r="K10" s="431"/>
      <c r="L10" s="431"/>
      <c r="M10" s="431"/>
      <c r="N10" s="431"/>
      <c r="O10" s="431"/>
      <c r="P10" s="508">
        <f t="shared" si="1"/>
        <v>1403.9</v>
      </c>
      <c r="Q10" s="508"/>
      <c r="R10" s="508">
        <v>1403.9</v>
      </c>
      <c r="S10" s="509"/>
    </row>
    <row r="11" spans="1:19" s="440" customFormat="1" ht="27" customHeight="1">
      <c r="A11" s="717" t="s">
        <v>1108</v>
      </c>
      <c r="B11" s="718"/>
      <c r="C11" s="436"/>
      <c r="D11" s="437"/>
      <c r="E11" s="437"/>
      <c r="F11" s="437"/>
      <c r="G11" s="438" t="e">
        <f>SUM(#REF!)</f>
        <v>#REF!</v>
      </c>
      <c r="H11" s="437"/>
      <c r="I11" s="438" t="e">
        <f>SUM(#REF!)</f>
        <v>#REF!</v>
      </c>
      <c r="J11" s="439" t="e">
        <f>SUM(#REF!)</f>
        <v>#REF!</v>
      </c>
      <c r="K11" s="439"/>
      <c r="L11" s="439" t="e">
        <f>SUM(#REF!)</f>
        <v>#REF!</v>
      </c>
      <c r="M11" s="439" t="e">
        <f t="shared" si="0"/>
        <v>#REF!</v>
      </c>
      <c r="N11" s="439" t="e">
        <f>SUM(#REF!)</f>
        <v>#REF!</v>
      </c>
      <c r="O11" s="439" t="e">
        <f>SUM(#REF!)</f>
        <v>#REF!</v>
      </c>
      <c r="P11" s="510">
        <f>SUM(Q11:S11)</f>
        <v>13040.300000000001</v>
      </c>
      <c r="Q11" s="510"/>
      <c r="R11" s="510">
        <f>SUM(R8:R10)</f>
        <v>13040.300000000001</v>
      </c>
      <c r="S11" s="511"/>
    </row>
    <row r="12" spans="1:19" ht="47.25" hidden="1" customHeight="1">
      <c r="A12" s="441"/>
      <c r="B12" s="441" t="s">
        <v>1109</v>
      </c>
      <c r="C12" s="442" t="s">
        <v>1110</v>
      </c>
      <c r="D12" s="429" t="s">
        <v>607</v>
      </c>
      <c r="E12" s="429" t="s">
        <v>357</v>
      </c>
      <c r="F12" s="443" t="s">
        <v>244</v>
      </c>
      <c r="G12" s="430">
        <v>5370.3</v>
      </c>
      <c r="H12" s="443"/>
      <c r="I12" s="430">
        <v>5370.3</v>
      </c>
      <c r="J12" s="431"/>
      <c r="K12" s="431"/>
      <c r="L12" s="431"/>
      <c r="M12" s="431">
        <f t="shared" si="0"/>
        <v>0</v>
      </c>
      <c r="N12" s="431"/>
      <c r="O12" s="431"/>
      <c r="P12" s="508">
        <f t="shared" si="1"/>
        <v>0</v>
      </c>
      <c r="Q12" s="508"/>
      <c r="R12" s="508">
        <f>O12+L12</f>
        <v>0</v>
      </c>
      <c r="S12" s="509"/>
    </row>
    <row r="13" spans="1:19" s="445" customFormat="1" ht="38.25" customHeight="1">
      <c r="A13" s="724" t="s">
        <v>1111</v>
      </c>
      <c r="B13" s="444" t="s">
        <v>398</v>
      </c>
      <c r="C13" s="432" t="s">
        <v>1112</v>
      </c>
      <c r="D13" s="429" t="s">
        <v>614</v>
      </c>
      <c r="E13" s="429" t="s">
        <v>385</v>
      </c>
      <c r="F13" s="443" t="s">
        <v>297</v>
      </c>
      <c r="G13" s="430">
        <v>299.10000000000002</v>
      </c>
      <c r="H13" s="430">
        <v>299.10000000000002</v>
      </c>
      <c r="I13" s="430"/>
      <c r="J13" s="431">
        <v>299.10000000000002</v>
      </c>
      <c r="K13" s="431">
        <v>299.10000000000002</v>
      </c>
      <c r="L13" s="431"/>
      <c r="M13" s="431">
        <f t="shared" si="0"/>
        <v>0</v>
      </c>
      <c r="N13" s="431"/>
      <c r="O13" s="431"/>
      <c r="P13" s="508">
        <f t="shared" si="1"/>
        <v>327</v>
      </c>
      <c r="Q13" s="508"/>
      <c r="R13" s="508">
        <v>327</v>
      </c>
      <c r="S13" s="509"/>
    </row>
    <row r="14" spans="1:19" s="435" customFormat="1" ht="39.75" customHeight="1">
      <c r="A14" s="727"/>
      <c r="B14" s="444" t="s">
        <v>391</v>
      </c>
      <c r="C14" s="432" t="s">
        <v>1113</v>
      </c>
      <c r="D14" s="429" t="s">
        <v>614</v>
      </c>
      <c r="E14" s="429" t="s">
        <v>370</v>
      </c>
      <c r="F14" s="443" t="s">
        <v>297</v>
      </c>
      <c r="G14" s="430">
        <v>3755.8</v>
      </c>
      <c r="H14" s="430">
        <v>3755.8</v>
      </c>
      <c r="I14" s="430"/>
      <c r="J14" s="431">
        <v>4011.1</v>
      </c>
      <c r="K14" s="431">
        <v>4011.1</v>
      </c>
      <c r="L14" s="431"/>
      <c r="M14" s="431">
        <f t="shared" si="0"/>
        <v>246.9</v>
      </c>
      <c r="N14" s="431">
        <v>246.9</v>
      </c>
      <c r="O14" s="431"/>
      <c r="P14" s="508">
        <f t="shared" si="1"/>
        <v>8129.1</v>
      </c>
      <c r="Q14" s="508"/>
      <c r="R14" s="508">
        <v>8129.1</v>
      </c>
      <c r="S14" s="509"/>
    </row>
    <row r="15" spans="1:19" s="435" customFormat="1" ht="42.75" customHeight="1">
      <c r="A15" s="727"/>
      <c r="B15" s="432" t="s">
        <v>400</v>
      </c>
      <c r="C15" s="432" t="s">
        <v>1114</v>
      </c>
      <c r="D15" s="429"/>
      <c r="E15" s="429"/>
      <c r="F15" s="429"/>
      <c r="G15" s="433">
        <v>1456</v>
      </c>
      <c r="H15" s="434"/>
      <c r="I15" s="434">
        <v>1456</v>
      </c>
      <c r="J15" s="431">
        <f t="shared" ref="J15:J23" si="2">K15+L15</f>
        <v>1525.9</v>
      </c>
      <c r="K15" s="431"/>
      <c r="L15" s="431">
        <v>1525.9</v>
      </c>
      <c r="M15" s="431">
        <f t="shared" si="0"/>
        <v>-97.9</v>
      </c>
      <c r="N15" s="431"/>
      <c r="O15" s="431">
        <v>-97.9</v>
      </c>
      <c r="P15" s="508">
        <f t="shared" si="1"/>
        <v>897</v>
      </c>
      <c r="Q15" s="508"/>
      <c r="R15" s="508">
        <v>897</v>
      </c>
      <c r="S15" s="509"/>
    </row>
    <row r="16" spans="1:19" s="435" customFormat="1" ht="45.75" customHeight="1">
      <c r="A16" s="727"/>
      <c r="B16" s="432" t="s">
        <v>404</v>
      </c>
      <c r="C16" s="432" t="s">
        <v>1115</v>
      </c>
      <c r="D16" s="429"/>
      <c r="E16" s="429"/>
      <c r="F16" s="429"/>
      <c r="G16" s="433">
        <v>37603</v>
      </c>
      <c r="H16" s="434"/>
      <c r="I16" s="434">
        <v>37603</v>
      </c>
      <c r="J16" s="431">
        <f t="shared" si="2"/>
        <v>39407.9</v>
      </c>
      <c r="K16" s="431"/>
      <c r="L16" s="431">
        <v>39407.9</v>
      </c>
      <c r="M16" s="431">
        <f t="shared" si="0"/>
        <v>131437.29999999999</v>
      </c>
      <c r="N16" s="431"/>
      <c r="O16" s="431">
        <v>131437.29999999999</v>
      </c>
      <c r="P16" s="508">
        <f t="shared" si="1"/>
        <v>2592</v>
      </c>
      <c r="Q16" s="508"/>
      <c r="R16" s="508">
        <v>2592</v>
      </c>
      <c r="S16" s="509"/>
    </row>
    <row r="17" spans="1:19" s="435" customFormat="1" ht="35.25" customHeight="1">
      <c r="A17" s="727"/>
      <c r="B17" s="432" t="s">
        <v>1116</v>
      </c>
      <c r="C17" s="432" t="s">
        <v>1117</v>
      </c>
      <c r="D17" s="429"/>
      <c r="E17" s="429"/>
      <c r="F17" s="429"/>
      <c r="G17" s="433">
        <v>4032</v>
      </c>
      <c r="H17" s="434"/>
      <c r="I17" s="434">
        <v>4032</v>
      </c>
      <c r="J17" s="431">
        <f t="shared" si="2"/>
        <v>4225.5</v>
      </c>
      <c r="K17" s="431"/>
      <c r="L17" s="431">
        <v>4225.5</v>
      </c>
      <c r="M17" s="431">
        <f t="shared" si="0"/>
        <v>1914.5</v>
      </c>
      <c r="N17" s="431">
        <f>SUM(N15:N16)</f>
        <v>0</v>
      </c>
      <c r="O17" s="431">
        <v>1914.5</v>
      </c>
      <c r="P17" s="508">
        <f t="shared" si="1"/>
        <v>1593.183</v>
      </c>
      <c r="Q17" s="508"/>
      <c r="R17" s="508">
        <v>1510</v>
      </c>
      <c r="S17" s="512">
        <v>83.183000000000007</v>
      </c>
    </row>
    <row r="18" spans="1:19" s="435" customFormat="1" ht="46.5" customHeight="1">
      <c r="A18" s="728"/>
      <c r="B18" s="432" t="s">
        <v>375</v>
      </c>
      <c r="C18" s="432" t="s">
        <v>1118</v>
      </c>
      <c r="D18" s="429"/>
      <c r="E18" s="429"/>
      <c r="F18" s="429"/>
      <c r="G18" s="433">
        <v>18498</v>
      </c>
      <c r="H18" s="434"/>
      <c r="I18" s="434">
        <v>18498</v>
      </c>
      <c r="J18" s="431">
        <f t="shared" si="2"/>
        <v>19385.900000000001</v>
      </c>
      <c r="K18" s="431"/>
      <c r="L18" s="431">
        <v>19385.900000000001</v>
      </c>
      <c r="M18" s="431">
        <f t="shared" si="0"/>
        <v>9727.1</v>
      </c>
      <c r="N18" s="431">
        <f>SUM(N17:N17)</f>
        <v>0</v>
      </c>
      <c r="O18" s="431">
        <v>9727.1</v>
      </c>
      <c r="P18" s="508">
        <f t="shared" si="1"/>
        <v>3840</v>
      </c>
      <c r="Q18" s="508"/>
      <c r="R18" s="508">
        <v>3840</v>
      </c>
      <c r="S18" s="509"/>
    </row>
    <row r="19" spans="1:19" s="435" customFormat="1" ht="55.5" customHeight="1">
      <c r="A19" s="724" t="s">
        <v>1111</v>
      </c>
      <c r="B19" s="432" t="s">
        <v>1119</v>
      </c>
      <c r="C19" s="432" t="s">
        <v>1120</v>
      </c>
      <c r="D19" s="429"/>
      <c r="E19" s="429"/>
      <c r="F19" s="429"/>
      <c r="G19" s="433">
        <v>23644</v>
      </c>
      <c r="H19" s="434"/>
      <c r="I19" s="434">
        <v>23644</v>
      </c>
      <c r="J19" s="431">
        <f t="shared" si="2"/>
        <v>24778.9</v>
      </c>
      <c r="K19" s="431"/>
      <c r="L19" s="431">
        <v>24778.9</v>
      </c>
      <c r="M19" s="431">
        <f t="shared" si="0"/>
        <v>-488.9</v>
      </c>
      <c r="N19" s="431">
        <f>SUM(N18:N18)</f>
        <v>0</v>
      </c>
      <c r="O19" s="431">
        <v>-488.9</v>
      </c>
      <c r="P19" s="508">
        <f>SUM(Q19:S19)</f>
        <v>230</v>
      </c>
      <c r="Q19" s="508">
        <v>134.9</v>
      </c>
      <c r="R19" s="508">
        <f>230-134.9</f>
        <v>95.1</v>
      </c>
      <c r="S19" s="513"/>
    </row>
    <row r="20" spans="1:19" s="435" customFormat="1" ht="55.5" customHeight="1">
      <c r="A20" s="727"/>
      <c r="B20" s="432" t="s">
        <v>1121</v>
      </c>
      <c r="C20" s="432" t="s">
        <v>1122</v>
      </c>
      <c r="D20" s="429"/>
      <c r="E20" s="429"/>
      <c r="F20" s="429"/>
      <c r="G20" s="433"/>
      <c r="H20" s="434"/>
      <c r="I20" s="434"/>
      <c r="J20" s="431"/>
      <c r="K20" s="431"/>
      <c r="L20" s="431"/>
      <c r="M20" s="431"/>
      <c r="N20" s="431"/>
      <c r="O20" s="431"/>
      <c r="P20" s="508">
        <f>SUM(Q20:S20)</f>
        <v>128.9</v>
      </c>
      <c r="Q20" s="508">
        <f>115+13.9</f>
        <v>128.9</v>
      </c>
      <c r="R20" s="508"/>
      <c r="S20" s="513"/>
    </row>
    <row r="21" spans="1:19" s="435" customFormat="1" ht="28.5" customHeight="1">
      <c r="A21" s="727"/>
      <c r="B21" s="432" t="s">
        <v>373</v>
      </c>
      <c r="C21" s="432" t="s">
        <v>1123</v>
      </c>
      <c r="D21" s="429"/>
      <c r="E21" s="429"/>
      <c r="F21" s="429"/>
      <c r="G21" s="433">
        <v>50805</v>
      </c>
      <c r="H21" s="434">
        <v>16829.599999999999</v>
      </c>
      <c r="I21" s="434">
        <v>33975.4</v>
      </c>
      <c r="J21" s="431">
        <f>K21+L21</f>
        <v>53243.6</v>
      </c>
      <c r="K21" s="431">
        <v>16788.599999999999</v>
      </c>
      <c r="L21" s="431">
        <v>36455</v>
      </c>
      <c r="M21" s="431">
        <f>N21+O21</f>
        <v>22386.400000000001</v>
      </c>
      <c r="N21" s="431">
        <v>14325.4</v>
      </c>
      <c r="O21" s="431">
        <v>8061</v>
      </c>
      <c r="P21" s="508">
        <f>SUM(Q21:S21)</f>
        <v>7021</v>
      </c>
      <c r="Q21" s="508"/>
      <c r="R21" s="508">
        <v>7021</v>
      </c>
      <c r="S21" s="509"/>
    </row>
    <row r="22" spans="1:19" s="435" customFormat="1" ht="238.5" customHeight="1">
      <c r="A22" s="727"/>
      <c r="B22" s="432" t="s">
        <v>1124</v>
      </c>
      <c r="C22" s="432" t="s">
        <v>1125</v>
      </c>
      <c r="D22" s="429"/>
      <c r="E22" s="429"/>
      <c r="F22" s="429"/>
      <c r="G22" s="433"/>
      <c r="H22" s="434"/>
      <c r="I22" s="434"/>
      <c r="J22" s="431"/>
      <c r="K22" s="431"/>
      <c r="L22" s="431"/>
      <c r="M22" s="431"/>
      <c r="N22" s="431"/>
      <c r="O22" s="431"/>
      <c r="P22" s="508">
        <f>SUM(Q22:S22)</f>
        <v>15774.1</v>
      </c>
      <c r="Q22" s="508">
        <v>15774.1</v>
      </c>
      <c r="R22" s="508"/>
      <c r="S22" s="513"/>
    </row>
    <row r="23" spans="1:19" s="435" customFormat="1" ht="196.5" customHeight="1">
      <c r="A23" s="728"/>
      <c r="B23" s="432" t="s">
        <v>1126</v>
      </c>
      <c r="C23" s="432" t="s">
        <v>1127</v>
      </c>
      <c r="D23" s="429"/>
      <c r="E23" s="429"/>
      <c r="F23" s="429"/>
      <c r="G23" s="433">
        <v>50805</v>
      </c>
      <c r="H23" s="434">
        <v>16829.599999999999</v>
      </c>
      <c r="I23" s="434">
        <v>33975.4</v>
      </c>
      <c r="J23" s="431">
        <f t="shared" si="2"/>
        <v>53243.6</v>
      </c>
      <c r="K23" s="431">
        <v>16788.599999999999</v>
      </c>
      <c r="L23" s="431">
        <v>36455</v>
      </c>
      <c r="M23" s="431">
        <f t="shared" si="0"/>
        <v>22386.400000000001</v>
      </c>
      <c r="N23" s="431">
        <v>14325.4</v>
      </c>
      <c r="O23" s="431">
        <v>8061</v>
      </c>
      <c r="P23" s="508">
        <f t="shared" si="1"/>
        <v>2232</v>
      </c>
      <c r="Q23" s="508">
        <f>558+523.3+34.7+1116</f>
        <v>2232</v>
      </c>
      <c r="R23" s="508"/>
      <c r="S23" s="509">
        <f>34.7-34.7</f>
        <v>0</v>
      </c>
    </row>
    <row r="24" spans="1:19" ht="15.75" customHeight="1">
      <c r="A24" s="729" t="s">
        <v>1128</v>
      </c>
      <c r="B24" s="730"/>
      <c r="C24" s="446"/>
      <c r="D24" s="437"/>
      <c r="E24" s="437"/>
      <c r="F24" s="437"/>
      <c r="G24" s="447">
        <f t="shared" ref="G24:O24" si="3">SUM(G15:G23)</f>
        <v>186843</v>
      </c>
      <c r="H24" s="447">
        <f t="shared" si="3"/>
        <v>33659.199999999997</v>
      </c>
      <c r="I24" s="447">
        <f t="shared" si="3"/>
        <v>153183.79999999999</v>
      </c>
      <c r="J24" s="439">
        <f t="shared" si="3"/>
        <v>195811.30000000002</v>
      </c>
      <c r="K24" s="439">
        <f t="shared" si="3"/>
        <v>33577.199999999997</v>
      </c>
      <c r="L24" s="439">
        <f t="shared" si="3"/>
        <v>162234.1</v>
      </c>
      <c r="M24" s="439">
        <f t="shared" si="3"/>
        <v>187264.9</v>
      </c>
      <c r="N24" s="439">
        <f t="shared" si="3"/>
        <v>28650.799999999999</v>
      </c>
      <c r="O24" s="439">
        <f t="shared" si="3"/>
        <v>158614.1</v>
      </c>
      <c r="P24" s="510">
        <f>SUM(P13:P23)</f>
        <v>42764.283000000003</v>
      </c>
      <c r="Q24" s="510">
        <f>SUM(Q13:Q23)</f>
        <v>18269.900000000001</v>
      </c>
      <c r="R24" s="510">
        <f>SUM(R13:R23)</f>
        <v>24411.199999999997</v>
      </c>
      <c r="S24" s="510">
        <f>SUM(S13:S23)</f>
        <v>83.183000000000007</v>
      </c>
    </row>
    <row r="25" spans="1:19" ht="47.25">
      <c r="A25" s="724" t="s">
        <v>1129</v>
      </c>
      <c r="B25" s="427" t="s">
        <v>1130</v>
      </c>
      <c r="C25" s="428" t="s">
        <v>1131</v>
      </c>
      <c r="D25" s="429"/>
      <c r="E25" s="429"/>
      <c r="F25" s="429"/>
      <c r="G25" s="430"/>
      <c r="H25" s="429"/>
      <c r="I25" s="430"/>
      <c r="J25" s="431"/>
      <c r="K25" s="431"/>
      <c r="L25" s="431"/>
      <c r="M25" s="431"/>
      <c r="N25" s="431"/>
      <c r="O25" s="431"/>
      <c r="P25" s="508">
        <f>SUM(Q25:S25)</f>
        <v>1058.9929999999999</v>
      </c>
      <c r="Q25" s="508">
        <v>472.46899999999999</v>
      </c>
      <c r="R25" s="508">
        <v>383.88099999999997</v>
      </c>
      <c r="S25" s="515">
        <v>202.643</v>
      </c>
    </row>
    <row r="26" spans="1:19" ht="47.25">
      <c r="A26" s="725"/>
      <c r="B26" s="427" t="s">
        <v>1189</v>
      </c>
      <c r="C26" s="428" t="s">
        <v>1188</v>
      </c>
      <c r="D26" s="429"/>
      <c r="E26" s="429"/>
      <c r="F26" s="429"/>
      <c r="G26" s="430"/>
      <c r="H26" s="429"/>
      <c r="I26" s="430"/>
      <c r="J26" s="431"/>
      <c r="K26" s="431"/>
      <c r="L26" s="431"/>
      <c r="M26" s="431"/>
      <c r="N26" s="431"/>
      <c r="O26" s="431"/>
      <c r="P26" s="508">
        <f>SUM(Q26:S26)</f>
        <v>14.58</v>
      </c>
      <c r="Q26" s="508"/>
      <c r="R26" s="508">
        <v>14.58</v>
      </c>
      <c r="S26" s="515"/>
    </row>
    <row r="27" spans="1:19" ht="130.5" customHeight="1">
      <c r="A27" s="725"/>
      <c r="B27" s="432" t="s">
        <v>1132</v>
      </c>
      <c r="C27" s="432" t="s">
        <v>1133</v>
      </c>
      <c r="D27" s="429"/>
      <c r="E27" s="429"/>
      <c r="F27" s="429"/>
      <c r="G27" s="433">
        <v>5320</v>
      </c>
      <c r="H27" s="434"/>
      <c r="I27" s="434">
        <v>5320</v>
      </c>
      <c r="J27" s="431">
        <f>K27+L27</f>
        <v>76879.199999999997</v>
      </c>
      <c r="K27" s="431"/>
      <c r="L27" s="431">
        <v>76879.199999999997</v>
      </c>
      <c r="M27" s="431" t="e">
        <f>N27+O27</f>
        <v>#REF!</v>
      </c>
      <c r="N27" s="431" t="e">
        <f>SUM(#REF!)</f>
        <v>#REF!</v>
      </c>
      <c r="O27" s="431">
        <v>0</v>
      </c>
      <c r="P27" s="508">
        <f>SUM(Q27:S27)</f>
        <v>3601.9620000000004</v>
      </c>
      <c r="Q27" s="508">
        <v>2717.5880000000002</v>
      </c>
      <c r="R27" s="508">
        <v>884.37400000000002</v>
      </c>
      <c r="S27" s="509"/>
    </row>
    <row r="28" spans="1:19" ht="15.75">
      <c r="A28" s="717" t="s">
        <v>1134</v>
      </c>
      <c r="B28" s="718"/>
      <c r="C28" s="446"/>
      <c r="D28" s="437"/>
      <c r="E28" s="437"/>
      <c r="F28" s="437"/>
      <c r="G28" s="448" t="e">
        <f>#REF!+G24</f>
        <v>#REF!</v>
      </c>
      <c r="H28" s="448" t="e">
        <f>H24+#REF!</f>
        <v>#REF!</v>
      </c>
      <c r="I28" s="438" t="e">
        <f>I24+#REF!</f>
        <v>#REF!</v>
      </c>
      <c r="J28" s="439" t="e">
        <f>J24+#REF!</f>
        <v>#REF!</v>
      </c>
      <c r="K28" s="439" t="e">
        <f>K24+#REF!</f>
        <v>#REF!</v>
      </c>
      <c r="L28" s="439" t="e">
        <f>L24+#REF!</f>
        <v>#REF!</v>
      </c>
      <c r="M28" s="439" t="e">
        <f>M24+#REF!</f>
        <v>#REF!</v>
      </c>
      <c r="N28" s="439" t="e">
        <f>N24+#REF!</f>
        <v>#REF!</v>
      </c>
      <c r="O28" s="439" t="e">
        <f>O24+#REF!</f>
        <v>#REF!</v>
      </c>
      <c r="P28" s="510">
        <f>SUM(P25:P27)</f>
        <v>4675.5349999999999</v>
      </c>
      <c r="Q28" s="510">
        <f>SUM(Q25:Q27)</f>
        <v>3190.0570000000002</v>
      </c>
      <c r="R28" s="510">
        <f>SUM(R25:R27)</f>
        <v>1282.835</v>
      </c>
      <c r="S28" s="510">
        <f>SUM(S25:S27)</f>
        <v>202.643</v>
      </c>
    </row>
    <row r="29" spans="1:19" s="452" customFormat="1" ht="15.75">
      <c r="A29" s="449"/>
      <c r="B29" s="450" t="s">
        <v>570</v>
      </c>
      <c r="C29" s="450"/>
      <c r="D29" s="425"/>
      <c r="E29" s="425"/>
      <c r="F29" s="425"/>
      <c r="G29" s="425"/>
      <c r="H29" s="425"/>
      <c r="I29" s="425"/>
      <c r="J29" s="451"/>
      <c r="K29" s="451"/>
      <c r="L29" s="451"/>
      <c r="M29" s="451"/>
      <c r="N29" s="451"/>
      <c r="O29" s="451"/>
      <c r="P29" s="514">
        <f>P11+P28+P24</f>
        <v>60480.118000000002</v>
      </c>
      <c r="Q29" s="514">
        <f>Q11+Q28+Q24</f>
        <v>21459.957000000002</v>
      </c>
      <c r="R29" s="514">
        <f>R11+R28+R24</f>
        <v>38734.334999999999</v>
      </c>
      <c r="S29" s="514">
        <f>S11+S28+S24</f>
        <v>285.82600000000002</v>
      </c>
    </row>
    <row r="30" spans="1:19">
      <c r="A30" s="453"/>
      <c r="B30" s="453"/>
      <c r="C30" s="453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19">
      <c r="A31" s="453"/>
      <c r="B31" s="453"/>
      <c r="C31" s="453"/>
      <c r="J31" s="454"/>
      <c r="K31" s="454"/>
      <c r="L31" s="454"/>
      <c r="M31" s="454"/>
      <c r="N31" s="454"/>
      <c r="O31" s="454"/>
      <c r="P31" s="454"/>
      <c r="Q31" s="454"/>
      <c r="R31" s="454"/>
    </row>
    <row r="32" spans="1:19">
      <c r="A32" s="453"/>
      <c r="B32" s="453"/>
      <c r="C32" s="453"/>
      <c r="J32" s="454"/>
      <c r="K32" s="454"/>
      <c r="L32" s="454"/>
      <c r="M32" s="454"/>
      <c r="N32" s="454"/>
      <c r="O32" s="454"/>
      <c r="P32" s="454"/>
      <c r="Q32" s="454"/>
      <c r="R32" s="454"/>
    </row>
    <row r="33" spans="2:18">
      <c r="C33" s="453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2:18">
      <c r="C34" s="453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2:18">
      <c r="C35" s="453"/>
      <c r="J35" s="454"/>
      <c r="K35" s="454"/>
      <c r="L35" s="454"/>
      <c r="M35" s="454"/>
      <c r="N35" s="454"/>
      <c r="O35" s="454"/>
      <c r="P35" s="454"/>
      <c r="Q35" s="454"/>
      <c r="R35" s="454"/>
    </row>
    <row r="36" spans="2:18">
      <c r="J36" s="454"/>
      <c r="K36" s="454"/>
      <c r="L36" s="454"/>
      <c r="M36" s="454"/>
      <c r="N36" s="454"/>
      <c r="O36" s="454"/>
      <c r="P36" s="454"/>
      <c r="Q36" s="454"/>
      <c r="R36" s="454"/>
    </row>
    <row r="37" spans="2:18">
      <c r="J37" s="454"/>
      <c r="K37" s="454"/>
      <c r="L37" s="454"/>
      <c r="M37" s="454"/>
      <c r="N37" s="454"/>
      <c r="O37" s="454"/>
      <c r="P37" s="454"/>
      <c r="Q37" s="454"/>
      <c r="R37" s="454"/>
    </row>
    <row r="38" spans="2:18">
      <c r="J38" s="454"/>
      <c r="K38" s="454"/>
      <c r="L38" s="454"/>
      <c r="M38" s="454"/>
      <c r="N38" s="454"/>
      <c r="O38" s="454"/>
      <c r="P38" s="454"/>
      <c r="Q38" s="454"/>
      <c r="R38" s="454"/>
    </row>
    <row r="39" spans="2:18">
      <c r="J39" s="454"/>
      <c r="K39" s="454"/>
      <c r="L39" s="454"/>
      <c r="M39" s="454"/>
      <c r="N39" s="454"/>
      <c r="O39" s="454"/>
      <c r="P39" s="454"/>
      <c r="Q39" s="454"/>
      <c r="R39" s="454"/>
    </row>
    <row r="40" spans="2:18">
      <c r="J40" s="454"/>
      <c r="K40" s="454"/>
      <c r="L40" s="454"/>
      <c r="M40" s="454"/>
      <c r="N40" s="454"/>
      <c r="O40" s="454"/>
      <c r="P40" s="454"/>
      <c r="Q40" s="454"/>
      <c r="R40" s="454"/>
    </row>
    <row r="41" spans="2:18">
      <c r="J41" s="454"/>
      <c r="K41" s="454"/>
      <c r="L41" s="454"/>
      <c r="M41" s="454"/>
      <c r="N41" s="454"/>
      <c r="O41" s="454"/>
      <c r="P41" s="454"/>
      <c r="Q41" s="454"/>
      <c r="R41" s="454"/>
    </row>
    <row r="42" spans="2:18">
      <c r="J42" s="454"/>
      <c r="K42" s="454"/>
      <c r="L42" s="454"/>
      <c r="M42" s="454"/>
      <c r="N42" s="454"/>
      <c r="O42" s="454"/>
      <c r="P42" s="454"/>
      <c r="Q42" s="454"/>
      <c r="R42" s="454"/>
    </row>
    <row r="43" spans="2:18">
      <c r="J43" s="454"/>
      <c r="K43" s="454"/>
      <c r="L43" s="454"/>
      <c r="M43" s="454"/>
      <c r="N43" s="454"/>
      <c r="O43" s="454"/>
      <c r="P43" s="454"/>
      <c r="Q43" s="454"/>
      <c r="R43" s="454"/>
    </row>
    <row r="44" spans="2:18" ht="15">
      <c r="B44" s="719"/>
      <c r="C44" s="720"/>
      <c r="D44" s="720"/>
      <c r="E44" s="720"/>
      <c r="F44" s="721"/>
      <c r="G44" s="721"/>
      <c r="J44" s="454"/>
      <c r="K44" s="454"/>
      <c r="L44" s="454"/>
      <c r="M44" s="454"/>
      <c r="N44" s="454"/>
      <c r="O44" s="454"/>
      <c r="P44" s="454"/>
      <c r="Q44" s="454"/>
      <c r="R44" s="454"/>
    </row>
    <row r="45" spans="2:18">
      <c r="J45" s="454"/>
      <c r="K45" s="454"/>
      <c r="L45" s="454"/>
      <c r="M45" s="454"/>
      <c r="N45" s="454"/>
      <c r="O45" s="454"/>
      <c r="P45" s="454"/>
      <c r="Q45" s="454"/>
      <c r="R45" s="454"/>
    </row>
    <row r="46" spans="2:18">
      <c r="J46" s="454"/>
      <c r="K46" s="454"/>
      <c r="L46" s="454"/>
      <c r="M46" s="454"/>
      <c r="N46" s="454"/>
      <c r="O46" s="454"/>
      <c r="P46" s="454"/>
      <c r="Q46" s="454"/>
      <c r="R46" s="454"/>
    </row>
  </sheetData>
  <mergeCells count="29">
    <mergeCell ref="D1:R1"/>
    <mergeCell ref="P2:S2"/>
    <mergeCell ref="A3:R3"/>
    <mergeCell ref="Q4:R4"/>
    <mergeCell ref="A5:A7"/>
    <mergeCell ref="B5:B7"/>
    <mergeCell ref="C5:C7"/>
    <mergeCell ref="D5:F5"/>
    <mergeCell ref="G5:I5"/>
    <mergeCell ref="J5:L5"/>
    <mergeCell ref="M5:O5"/>
    <mergeCell ref="P5:S5"/>
    <mergeCell ref="D6:D7"/>
    <mergeCell ref="E6:E7"/>
    <mergeCell ref="F6:F7"/>
    <mergeCell ref="G6:G7"/>
    <mergeCell ref="A28:B28"/>
    <mergeCell ref="B44:G44"/>
    <mergeCell ref="N6:O6"/>
    <mergeCell ref="A8:A10"/>
    <mergeCell ref="A11:B11"/>
    <mergeCell ref="A13:A18"/>
    <mergeCell ref="A19:A23"/>
    <mergeCell ref="A24:B24"/>
    <mergeCell ref="H6:I6"/>
    <mergeCell ref="J6:J7"/>
    <mergeCell ref="K6:L6"/>
    <mergeCell ref="M6:M7"/>
    <mergeCell ref="A25:A27"/>
  </mergeCells>
  <pageMargins left="3.937007874015748E-2" right="0" top="0.59055118110236227" bottom="0" header="0.31496062992125984" footer="0.31496062992125984"/>
  <pageSetup paperSize="9" scale="64" firstPageNumber="32" fitToHeight="2" orientation="landscape" useFirstPageNumber="1" horizontalDpi="300" verticalDpi="300" r:id="rId1"/>
  <rowBreaks count="1" manualBreakCount="1">
    <brk id="1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31"/>
  <sheetViews>
    <sheetView tabSelected="1" view="pageBreakPreview" topLeftCell="C1" zoomScale="75" zoomScaleNormal="75" zoomScaleSheetLayoutView="75" workbookViewId="0">
      <selection activeCell="L3" sqref="L3:O5"/>
    </sheetView>
  </sheetViews>
  <sheetFormatPr defaultColWidth="8" defaultRowHeight="12.75"/>
  <cols>
    <col min="1" max="1" width="7.85546875" style="336" hidden="1" customWidth="1"/>
    <col min="2" max="2" width="0.28515625" style="336" hidden="1" customWidth="1"/>
    <col min="3" max="3" width="6" style="337" customWidth="1"/>
    <col min="4" max="4" width="42.140625" style="338" customWidth="1"/>
    <col min="5" max="5" width="17.28515625" style="339" bestFit="1" customWidth="1"/>
    <col min="6" max="6" width="13.42578125" style="340" customWidth="1"/>
    <col min="7" max="8" width="16.140625" style="340" bestFit="1" customWidth="1"/>
    <col min="9" max="9" width="14.42578125" style="340" customWidth="1"/>
    <col min="10" max="10" width="14.85546875" style="340" customWidth="1"/>
    <col min="11" max="11" width="12.28515625" style="340" customWidth="1"/>
    <col min="12" max="12" width="15.28515625" style="340" customWidth="1"/>
    <col min="13" max="13" width="15.7109375" style="340" customWidth="1"/>
    <col min="14" max="14" width="13.7109375" style="336" customWidth="1"/>
    <col min="15" max="15" width="15" style="279" customWidth="1"/>
    <col min="16" max="16" width="15.140625" style="279" customWidth="1"/>
    <col min="17" max="43" width="8" style="279" customWidth="1"/>
    <col min="44" max="256" width="8" style="336"/>
    <col min="257" max="258" width="0" style="336" hidden="1" customWidth="1"/>
    <col min="259" max="259" width="6" style="336" customWidth="1"/>
    <col min="260" max="260" width="42.140625" style="336" customWidth="1"/>
    <col min="261" max="261" width="14.140625" style="336" customWidth="1"/>
    <col min="262" max="262" width="12.7109375" style="336" customWidth="1"/>
    <col min="263" max="263" width="13.5703125" style="336" customWidth="1"/>
    <col min="264" max="264" width="14" style="336" customWidth="1"/>
    <col min="265" max="265" width="13.85546875" style="336" customWidth="1"/>
    <col min="266" max="266" width="12.5703125" style="336" customWidth="1"/>
    <col min="267" max="269" width="12.7109375" style="336" customWidth="1"/>
    <col min="270" max="270" width="16.85546875" style="336" customWidth="1"/>
    <col min="271" max="271" width="12.140625" style="336" customWidth="1"/>
    <col min="272" max="272" width="15.140625" style="336" customWidth="1"/>
    <col min="273" max="299" width="8" style="336" customWidth="1"/>
    <col min="300" max="512" width="8" style="336"/>
    <col min="513" max="514" width="0" style="336" hidden="1" customWidth="1"/>
    <col min="515" max="515" width="6" style="336" customWidth="1"/>
    <col min="516" max="516" width="42.140625" style="336" customWidth="1"/>
    <col min="517" max="517" width="14.140625" style="336" customWidth="1"/>
    <col min="518" max="518" width="12.7109375" style="336" customWidth="1"/>
    <col min="519" max="519" width="13.5703125" style="336" customWidth="1"/>
    <col min="520" max="520" width="14" style="336" customWidth="1"/>
    <col min="521" max="521" width="13.85546875" style="336" customWidth="1"/>
    <col min="522" max="522" width="12.5703125" style="336" customWidth="1"/>
    <col min="523" max="525" width="12.7109375" style="336" customWidth="1"/>
    <col min="526" max="526" width="16.85546875" style="336" customWidth="1"/>
    <col min="527" max="527" width="12.140625" style="336" customWidth="1"/>
    <col min="528" max="528" width="15.140625" style="336" customWidth="1"/>
    <col min="529" max="555" width="8" style="336" customWidth="1"/>
    <col min="556" max="768" width="8" style="336"/>
    <col min="769" max="770" width="0" style="336" hidden="1" customWidth="1"/>
    <col min="771" max="771" width="6" style="336" customWidth="1"/>
    <col min="772" max="772" width="42.140625" style="336" customWidth="1"/>
    <col min="773" max="773" width="14.140625" style="336" customWidth="1"/>
    <col min="774" max="774" width="12.7109375" style="336" customWidth="1"/>
    <col min="775" max="775" width="13.5703125" style="336" customWidth="1"/>
    <col min="776" max="776" width="14" style="336" customWidth="1"/>
    <col min="777" max="777" width="13.85546875" style="336" customWidth="1"/>
    <col min="778" max="778" width="12.5703125" style="336" customWidth="1"/>
    <col min="779" max="781" width="12.7109375" style="336" customWidth="1"/>
    <col min="782" max="782" width="16.85546875" style="336" customWidth="1"/>
    <col min="783" max="783" width="12.140625" style="336" customWidth="1"/>
    <col min="784" max="784" width="15.140625" style="336" customWidth="1"/>
    <col min="785" max="811" width="8" style="336" customWidth="1"/>
    <col min="812" max="1024" width="8" style="336"/>
    <col min="1025" max="1026" width="0" style="336" hidden="1" customWidth="1"/>
    <col min="1027" max="1027" width="6" style="336" customWidth="1"/>
    <col min="1028" max="1028" width="42.140625" style="336" customWidth="1"/>
    <col min="1029" max="1029" width="14.140625" style="336" customWidth="1"/>
    <col min="1030" max="1030" width="12.7109375" style="336" customWidth="1"/>
    <col min="1031" max="1031" width="13.5703125" style="336" customWidth="1"/>
    <col min="1032" max="1032" width="14" style="336" customWidth="1"/>
    <col min="1033" max="1033" width="13.85546875" style="336" customWidth="1"/>
    <col min="1034" max="1034" width="12.5703125" style="336" customWidth="1"/>
    <col min="1035" max="1037" width="12.7109375" style="336" customWidth="1"/>
    <col min="1038" max="1038" width="16.85546875" style="336" customWidth="1"/>
    <col min="1039" max="1039" width="12.140625" style="336" customWidth="1"/>
    <col min="1040" max="1040" width="15.140625" style="336" customWidth="1"/>
    <col min="1041" max="1067" width="8" style="336" customWidth="1"/>
    <col min="1068" max="1280" width="8" style="336"/>
    <col min="1281" max="1282" width="0" style="336" hidden="1" customWidth="1"/>
    <col min="1283" max="1283" width="6" style="336" customWidth="1"/>
    <col min="1284" max="1284" width="42.140625" style="336" customWidth="1"/>
    <col min="1285" max="1285" width="14.140625" style="336" customWidth="1"/>
    <col min="1286" max="1286" width="12.7109375" style="336" customWidth="1"/>
    <col min="1287" max="1287" width="13.5703125" style="336" customWidth="1"/>
    <col min="1288" max="1288" width="14" style="336" customWidth="1"/>
    <col min="1289" max="1289" width="13.85546875" style="336" customWidth="1"/>
    <col min="1290" max="1290" width="12.5703125" style="336" customWidth="1"/>
    <col min="1291" max="1293" width="12.7109375" style="336" customWidth="1"/>
    <col min="1294" max="1294" width="16.85546875" style="336" customWidth="1"/>
    <col min="1295" max="1295" width="12.140625" style="336" customWidth="1"/>
    <col min="1296" max="1296" width="15.140625" style="336" customWidth="1"/>
    <col min="1297" max="1323" width="8" style="336" customWidth="1"/>
    <col min="1324" max="1536" width="8" style="336"/>
    <col min="1537" max="1538" width="0" style="336" hidden="1" customWidth="1"/>
    <col min="1539" max="1539" width="6" style="336" customWidth="1"/>
    <col min="1540" max="1540" width="42.140625" style="336" customWidth="1"/>
    <col min="1541" max="1541" width="14.140625" style="336" customWidth="1"/>
    <col min="1542" max="1542" width="12.7109375" style="336" customWidth="1"/>
    <col min="1543" max="1543" width="13.5703125" style="336" customWidth="1"/>
    <col min="1544" max="1544" width="14" style="336" customWidth="1"/>
    <col min="1545" max="1545" width="13.85546875" style="336" customWidth="1"/>
    <col min="1546" max="1546" width="12.5703125" style="336" customWidth="1"/>
    <col min="1547" max="1549" width="12.7109375" style="336" customWidth="1"/>
    <col min="1550" max="1550" width="16.85546875" style="336" customWidth="1"/>
    <col min="1551" max="1551" width="12.140625" style="336" customWidth="1"/>
    <col min="1552" max="1552" width="15.140625" style="336" customWidth="1"/>
    <col min="1553" max="1579" width="8" style="336" customWidth="1"/>
    <col min="1580" max="1792" width="8" style="336"/>
    <col min="1793" max="1794" width="0" style="336" hidden="1" customWidth="1"/>
    <col min="1795" max="1795" width="6" style="336" customWidth="1"/>
    <col min="1796" max="1796" width="42.140625" style="336" customWidth="1"/>
    <col min="1797" max="1797" width="14.140625" style="336" customWidth="1"/>
    <col min="1798" max="1798" width="12.7109375" style="336" customWidth="1"/>
    <col min="1799" max="1799" width="13.5703125" style="336" customWidth="1"/>
    <col min="1800" max="1800" width="14" style="336" customWidth="1"/>
    <col min="1801" max="1801" width="13.85546875" style="336" customWidth="1"/>
    <col min="1802" max="1802" width="12.5703125" style="336" customWidth="1"/>
    <col min="1803" max="1805" width="12.7109375" style="336" customWidth="1"/>
    <col min="1806" max="1806" width="16.85546875" style="336" customWidth="1"/>
    <col min="1807" max="1807" width="12.140625" style="336" customWidth="1"/>
    <col min="1808" max="1808" width="15.140625" style="336" customWidth="1"/>
    <col min="1809" max="1835" width="8" style="336" customWidth="1"/>
    <col min="1836" max="2048" width="8" style="336"/>
    <col min="2049" max="2050" width="0" style="336" hidden="1" customWidth="1"/>
    <col min="2051" max="2051" width="6" style="336" customWidth="1"/>
    <col min="2052" max="2052" width="42.140625" style="336" customWidth="1"/>
    <col min="2053" max="2053" width="14.140625" style="336" customWidth="1"/>
    <col min="2054" max="2054" width="12.7109375" style="336" customWidth="1"/>
    <col min="2055" max="2055" width="13.5703125" style="336" customWidth="1"/>
    <col min="2056" max="2056" width="14" style="336" customWidth="1"/>
    <col min="2057" max="2057" width="13.85546875" style="336" customWidth="1"/>
    <col min="2058" max="2058" width="12.5703125" style="336" customWidth="1"/>
    <col min="2059" max="2061" width="12.7109375" style="336" customWidth="1"/>
    <col min="2062" max="2062" width="16.85546875" style="336" customWidth="1"/>
    <col min="2063" max="2063" width="12.140625" style="336" customWidth="1"/>
    <col min="2064" max="2064" width="15.140625" style="336" customWidth="1"/>
    <col min="2065" max="2091" width="8" style="336" customWidth="1"/>
    <col min="2092" max="2304" width="8" style="336"/>
    <col min="2305" max="2306" width="0" style="336" hidden="1" customWidth="1"/>
    <col min="2307" max="2307" width="6" style="336" customWidth="1"/>
    <col min="2308" max="2308" width="42.140625" style="336" customWidth="1"/>
    <col min="2309" max="2309" width="14.140625" style="336" customWidth="1"/>
    <col min="2310" max="2310" width="12.7109375" style="336" customWidth="1"/>
    <col min="2311" max="2311" width="13.5703125" style="336" customWidth="1"/>
    <col min="2312" max="2312" width="14" style="336" customWidth="1"/>
    <col min="2313" max="2313" width="13.85546875" style="336" customWidth="1"/>
    <col min="2314" max="2314" width="12.5703125" style="336" customWidth="1"/>
    <col min="2315" max="2317" width="12.7109375" style="336" customWidth="1"/>
    <col min="2318" max="2318" width="16.85546875" style="336" customWidth="1"/>
    <col min="2319" max="2319" width="12.140625" style="336" customWidth="1"/>
    <col min="2320" max="2320" width="15.140625" style="336" customWidth="1"/>
    <col min="2321" max="2347" width="8" style="336" customWidth="1"/>
    <col min="2348" max="2560" width="8" style="336"/>
    <col min="2561" max="2562" width="0" style="336" hidden="1" customWidth="1"/>
    <col min="2563" max="2563" width="6" style="336" customWidth="1"/>
    <col min="2564" max="2564" width="42.140625" style="336" customWidth="1"/>
    <col min="2565" max="2565" width="14.140625" style="336" customWidth="1"/>
    <col min="2566" max="2566" width="12.7109375" style="336" customWidth="1"/>
    <col min="2567" max="2567" width="13.5703125" style="336" customWidth="1"/>
    <col min="2568" max="2568" width="14" style="336" customWidth="1"/>
    <col min="2569" max="2569" width="13.85546875" style="336" customWidth="1"/>
    <col min="2570" max="2570" width="12.5703125" style="336" customWidth="1"/>
    <col min="2571" max="2573" width="12.7109375" style="336" customWidth="1"/>
    <col min="2574" max="2574" width="16.85546875" style="336" customWidth="1"/>
    <col min="2575" max="2575" width="12.140625" style="336" customWidth="1"/>
    <col min="2576" max="2576" width="15.140625" style="336" customWidth="1"/>
    <col min="2577" max="2603" width="8" style="336" customWidth="1"/>
    <col min="2604" max="2816" width="8" style="336"/>
    <col min="2817" max="2818" width="0" style="336" hidden="1" customWidth="1"/>
    <col min="2819" max="2819" width="6" style="336" customWidth="1"/>
    <col min="2820" max="2820" width="42.140625" style="336" customWidth="1"/>
    <col min="2821" max="2821" width="14.140625" style="336" customWidth="1"/>
    <col min="2822" max="2822" width="12.7109375" style="336" customWidth="1"/>
    <col min="2823" max="2823" width="13.5703125" style="336" customWidth="1"/>
    <col min="2824" max="2824" width="14" style="336" customWidth="1"/>
    <col min="2825" max="2825" width="13.85546875" style="336" customWidth="1"/>
    <col min="2826" max="2826" width="12.5703125" style="336" customWidth="1"/>
    <col min="2827" max="2829" width="12.7109375" style="336" customWidth="1"/>
    <col min="2830" max="2830" width="16.85546875" style="336" customWidth="1"/>
    <col min="2831" max="2831" width="12.140625" style="336" customWidth="1"/>
    <col min="2832" max="2832" width="15.140625" style="336" customWidth="1"/>
    <col min="2833" max="2859" width="8" style="336" customWidth="1"/>
    <col min="2860" max="3072" width="8" style="336"/>
    <col min="3073" max="3074" width="0" style="336" hidden="1" customWidth="1"/>
    <col min="3075" max="3075" width="6" style="336" customWidth="1"/>
    <col min="3076" max="3076" width="42.140625" style="336" customWidth="1"/>
    <col min="3077" max="3077" width="14.140625" style="336" customWidth="1"/>
    <col min="3078" max="3078" width="12.7109375" style="336" customWidth="1"/>
    <col min="3079" max="3079" width="13.5703125" style="336" customWidth="1"/>
    <col min="3080" max="3080" width="14" style="336" customWidth="1"/>
    <col min="3081" max="3081" width="13.85546875" style="336" customWidth="1"/>
    <col min="3082" max="3082" width="12.5703125" style="336" customWidth="1"/>
    <col min="3083" max="3085" width="12.7109375" style="336" customWidth="1"/>
    <col min="3086" max="3086" width="16.85546875" style="336" customWidth="1"/>
    <col min="3087" max="3087" width="12.140625" style="336" customWidth="1"/>
    <col min="3088" max="3088" width="15.140625" style="336" customWidth="1"/>
    <col min="3089" max="3115" width="8" style="336" customWidth="1"/>
    <col min="3116" max="3328" width="8" style="336"/>
    <col min="3329" max="3330" width="0" style="336" hidden="1" customWidth="1"/>
    <col min="3331" max="3331" width="6" style="336" customWidth="1"/>
    <col min="3332" max="3332" width="42.140625" style="336" customWidth="1"/>
    <col min="3333" max="3333" width="14.140625" style="336" customWidth="1"/>
    <col min="3334" max="3334" width="12.7109375" style="336" customWidth="1"/>
    <col min="3335" max="3335" width="13.5703125" style="336" customWidth="1"/>
    <col min="3336" max="3336" width="14" style="336" customWidth="1"/>
    <col min="3337" max="3337" width="13.85546875" style="336" customWidth="1"/>
    <col min="3338" max="3338" width="12.5703125" style="336" customWidth="1"/>
    <col min="3339" max="3341" width="12.7109375" style="336" customWidth="1"/>
    <col min="3342" max="3342" width="16.85546875" style="336" customWidth="1"/>
    <col min="3343" max="3343" width="12.140625" style="336" customWidth="1"/>
    <col min="3344" max="3344" width="15.140625" style="336" customWidth="1"/>
    <col min="3345" max="3371" width="8" style="336" customWidth="1"/>
    <col min="3372" max="3584" width="8" style="336"/>
    <col min="3585" max="3586" width="0" style="336" hidden="1" customWidth="1"/>
    <col min="3587" max="3587" width="6" style="336" customWidth="1"/>
    <col min="3588" max="3588" width="42.140625" style="336" customWidth="1"/>
    <col min="3589" max="3589" width="14.140625" style="336" customWidth="1"/>
    <col min="3590" max="3590" width="12.7109375" style="336" customWidth="1"/>
    <col min="3591" max="3591" width="13.5703125" style="336" customWidth="1"/>
    <col min="3592" max="3592" width="14" style="336" customWidth="1"/>
    <col min="3593" max="3593" width="13.85546875" style="336" customWidth="1"/>
    <col min="3594" max="3594" width="12.5703125" style="336" customWidth="1"/>
    <col min="3595" max="3597" width="12.7109375" style="336" customWidth="1"/>
    <col min="3598" max="3598" width="16.85546875" style="336" customWidth="1"/>
    <col min="3599" max="3599" width="12.140625" style="336" customWidth="1"/>
    <col min="3600" max="3600" width="15.140625" style="336" customWidth="1"/>
    <col min="3601" max="3627" width="8" style="336" customWidth="1"/>
    <col min="3628" max="3840" width="8" style="336"/>
    <col min="3841" max="3842" width="0" style="336" hidden="1" customWidth="1"/>
    <col min="3843" max="3843" width="6" style="336" customWidth="1"/>
    <col min="3844" max="3844" width="42.140625" style="336" customWidth="1"/>
    <col min="3845" max="3845" width="14.140625" style="336" customWidth="1"/>
    <col min="3846" max="3846" width="12.7109375" style="336" customWidth="1"/>
    <col min="3847" max="3847" width="13.5703125" style="336" customWidth="1"/>
    <col min="3848" max="3848" width="14" style="336" customWidth="1"/>
    <col min="3849" max="3849" width="13.85546875" style="336" customWidth="1"/>
    <col min="3850" max="3850" width="12.5703125" style="336" customWidth="1"/>
    <col min="3851" max="3853" width="12.7109375" style="336" customWidth="1"/>
    <col min="3854" max="3854" width="16.85546875" style="336" customWidth="1"/>
    <col min="3855" max="3855" width="12.140625" style="336" customWidth="1"/>
    <col min="3856" max="3856" width="15.140625" style="336" customWidth="1"/>
    <col min="3857" max="3883" width="8" style="336" customWidth="1"/>
    <col min="3884" max="4096" width="8" style="336"/>
    <col min="4097" max="4098" width="0" style="336" hidden="1" customWidth="1"/>
    <col min="4099" max="4099" width="6" style="336" customWidth="1"/>
    <col min="4100" max="4100" width="42.140625" style="336" customWidth="1"/>
    <col min="4101" max="4101" width="14.140625" style="336" customWidth="1"/>
    <col min="4102" max="4102" width="12.7109375" style="336" customWidth="1"/>
    <col min="4103" max="4103" width="13.5703125" style="336" customWidth="1"/>
    <col min="4104" max="4104" width="14" style="336" customWidth="1"/>
    <col min="4105" max="4105" width="13.85546875" style="336" customWidth="1"/>
    <col min="4106" max="4106" width="12.5703125" style="336" customWidth="1"/>
    <col min="4107" max="4109" width="12.7109375" style="336" customWidth="1"/>
    <col min="4110" max="4110" width="16.85546875" style="336" customWidth="1"/>
    <col min="4111" max="4111" width="12.140625" style="336" customWidth="1"/>
    <col min="4112" max="4112" width="15.140625" style="336" customWidth="1"/>
    <col min="4113" max="4139" width="8" style="336" customWidth="1"/>
    <col min="4140" max="4352" width="8" style="336"/>
    <col min="4353" max="4354" width="0" style="336" hidden="1" customWidth="1"/>
    <col min="4355" max="4355" width="6" style="336" customWidth="1"/>
    <col min="4356" max="4356" width="42.140625" style="336" customWidth="1"/>
    <col min="4357" max="4357" width="14.140625" style="336" customWidth="1"/>
    <col min="4358" max="4358" width="12.7109375" style="336" customWidth="1"/>
    <col min="4359" max="4359" width="13.5703125" style="336" customWidth="1"/>
    <col min="4360" max="4360" width="14" style="336" customWidth="1"/>
    <col min="4361" max="4361" width="13.85546875" style="336" customWidth="1"/>
    <col min="4362" max="4362" width="12.5703125" style="336" customWidth="1"/>
    <col min="4363" max="4365" width="12.7109375" style="336" customWidth="1"/>
    <col min="4366" max="4366" width="16.85546875" style="336" customWidth="1"/>
    <col min="4367" max="4367" width="12.140625" style="336" customWidth="1"/>
    <col min="4368" max="4368" width="15.140625" style="336" customWidth="1"/>
    <col min="4369" max="4395" width="8" style="336" customWidth="1"/>
    <col min="4396" max="4608" width="8" style="336"/>
    <col min="4609" max="4610" width="0" style="336" hidden="1" customWidth="1"/>
    <col min="4611" max="4611" width="6" style="336" customWidth="1"/>
    <col min="4612" max="4612" width="42.140625" style="336" customWidth="1"/>
    <col min="4613" max="4613" width="14.140625" style="336" customWidth="1"/>
    <col min="4614" max="4614" width="12.7109375" style="336" customWidth="1"/>
    <col min="4615" max="4615" width="13.5703125" style="336" customWidth="1"/>
    <col min="4616" max="4616" width="14" style="336" customWidth="1"/>
    <col min="4617" max="4617" width="13.85546875" style="336" customWidth="1"/>
    <col min="4618" max="4618" width="12.5703125" style="336" customWidth="1"/>
    <col min="4619" max="4621" width="12.7109375" style="336" customWidth="1"/>
    <col min="4622" max="4622" width="16.85546875" style="336" customWidth="1"/>
    <col min="4623" max="4623" width="12.140625" style="336" customWidth="1"/>
    <col min="4624" max="4624" width="15.140625" style="336" customWidth="1"/>
    <col min="4625" max="4651" width="8" style="336" customWidth="1"/>
    <col min="4652" max="4864" width="8" style="336"/>
    <col min="4865" max="4866" width="0" style="336" hidden="1" customWidth="1"/>
    <col min="4867" max="4867" width="6" style="336" customWidth="1"/>
    <col min="4868" max="4868" width="42.140625" style="336" customWidth="1"/>
    <col min="4869" max="4869" width="14.140625" style="336" customWidth="1"/>
    <col min="4870" max="4870" width="12.7109375" style="336" customWidth="1"/>
    <col min="4871" max="4871" width="13.5703125" style="336" customWidth="1"/>
    <col min="4872" max="4872" width="14" style="336" customWidth="1"/>
    <col min="4873" max="4873" width="13.85546875" style="336" customWidth="1"/>
    <col min="4874" max="4874" width="12.5703125" style="336" customWidth="1"/>
    <col min="4875" max="4877" width="12.7109375" style="336" customWidth="1"/>
    <col min="4878" max="4878" width="16.85546875" style="336" customWidth="1"/>
    <col min="4879" max="4879" width="12.140625" style="336" customWidth="1"/>
    <col min="4880" max="4880" width="15.140625" style="336" customWidth="1"/>
    <col min="4881" max="4907" width="8" style="336" customWidth="1"/>
    <col min="4908" max="5120" width="8" style="336"/>
    <col min="5121" max="5122" width="0" style="336" hidden="1" customWidth="1"/>
    <col min="5123" max="5123" width="6" style="336" customWidth="1"/>
    <col min="5124" max="5124" width="42.140625" style="336" customWidth="1"/>
    <col min="5125" max="5125" width="14.140625" style="336" customWidth="1"/>
    <col min="5126" max="5126" width="12.7109375" style="336" customWidth="1"/>
    <col min="5127" max="5127" width="13.5703125" style="336" customWidth="1"/>
    <col min="5128" max="5128" width="14" style="336" customWidth="1"/>
    <col min="5129" max="5129" width="13.85546875" style="336" customWidth="1"/>
    <col min="5130" max="5130" width="12.5703125" style="336" customWidth="1"/>
    <col min="5131" max="5133" width="12.7109375" style="336" customWidth="1"/>
    <col min="5134" max="5134" width="16.85546875" style="336" customWidth="1"/>
    <col min="5135" max="5135" width="12.140625" style="336" customWidth="1"/>
    <col min="5136" max="5136" width="15.140625" style="336" customWidth="1"/>
    <col min="5137" max="5163" width="8" style="336" customWidth="1"/>
    <col min="5164" max="5376" width="8" style="336"/>
    <col min="5377" max="5378" width="0" style="336" hidden="1" customWidth="1"/>
    <col min="5379" max="5379" width="6" style="336" customWidth="1"/>
    <col min="5380" max="5380" width="42.140625" style="336" customWidth="1"/>
    <col min="5381" max="5381" width="14.140625" style="336" customWidth="1"/>
    <col min="5382" max="5382" width="12.7109375" style="336" customWidth="1"/>
    <col min="5383" max="5383" width="13.5703125" style="336" customWidth="1"/>
    <col min="5384" max="5384" width="14" style="336" customWidth="1"/>
    <col min="5385" max="5385" width="13.85546875" style="336" customWidth="1"/>
    <col min="5386" max="5386" width="12.5703125" style="336" customWidth="1"/>
    <col min="5387" max="5389" width="12.7109375" style="336" customWidth="1"/>
    <col min="5390" max="5390" width="16.85546875" style="336" customWidth="1"/>
    <col min="5391" max="5391" width="12.140625" style="336" customWidth="1"/>
    <col min="5392" max="5392" width="15.140625" style="336" customWidth="1"/>
    <col min="5393" max="5419" width="8" style="336" customWidth="1"/>
    <col min="5420" max="5632" width="8" style="336"/>
    <col min="5633" max="5634" width="0" style="336" hidden="1" customWidth="1"/>
    <col min="5635" max="5635" width="6" style="336" customWidth="1"/>
    <col min="5636" max="5636" width="42.140625" style="336" customWidth="1"/>
    <col min="5637" max="5637" width="14.140625" style="336" customWidth="1"/>
    <col min="5638" max="5638" width="12.7109375" style="336" customWidth="1"/>
    <col min="5639" max="5639" width="13.5703125" style="336" customWidth="1"/>
    <col min="5640" max="5640" width="14" style="336" customWidth="1"/>
    <col min="5641" max="5641" width="13.85546875" style="336" customWidth="1"/>
    <col min="5642" max="5642" width="12.5703125" style="336" customWidth="1"/>
    <col min="5643" max="5645" width="12.7109375" style="336" customWidth="1"/>
    <col min="5646" max="5646" width="16.85546875" style="336" customWidth="1"/>
    <col min="5647" max="5647" width="12.140625" style="336" customWidth="1"/>
    <col min="5648" max="5648" width="15.140625" style="336" customWidth="1"/>
    <col min="5649" max="5675" width="8" style="336" customWidth="1"/>
    <col min="5676" max="5888" width="8" style="336"/>
    <col min="5889" max="5890" width="0" style="336" hidden="1" customWidth="1"/>
    <col min="5891" max="5891" width="6" style="336" customWidth="1"/>
    <col min="5892" max="5892" width="42.140625" style="336" customWidth="1"/>
    <col min="5893" max="5893" width="14.140625" style="336" customWidth="1"/>
    <col min="5894" max="5894" width="12.7109375" style="336" customWidth="1"/>
    <col min="5895" max="5895" width="13.5703125" style="336" customWidth="1"/>
    <col min="5896" max="5896" width="14" style="336" customWidth="1"/>
    <col min="5897" max="5897" width="13.85546875" style="336" customWidth="1"/>
    <col min="5898" max="5898" width="12.5703125" style="336" customWidth="1"/>
    <col min="5899" max="5901" width="12.7109375" style="336" customWidth="1"/>
    <col min="5902" max="5902" width="16.85546875" style="336" customWidth="1"/>
    <col min="5903" max="5903" width="12.140625" style="336" customWidth="1"/>
    <col min="5904" max="5904" width="15.140625" style="336" customWidth="1"/>
    <col min="5905" max="5931" width="8" style="336" customWidth="1"/>
    <col min="5932" max="6144" width="8" style="336"/>
    <col min="6145" max="6146" width="0" style="336" hidden="1" customWidth="1"/>
    <col min="6147" max="6147" width="6" style="336" customWidth="1"/>
    <col min="6148" max="6148" width="42.140625" style="336" customWidth="1"/>
    <col min="6149" max="6149" width="14.140625" style="336" customWidth="1"/>
    <col min="6150" max="6150" width="12.7109375" style="336" customWidth="1"/>
    <col min="6151" max="6151" width="13.5703125" style="336" customWidth="1"/>
    <col min="6152" max="6152" width="14" style="336" customWidth="1"/>
    <col min="6153" max="6153" width="13.85546875" style="336" customWidth="1"/>
    <col min="6154" max="6154" width="12.5703125" style="336" customWidth="1"/>
    <col min="6155" max="6157" width="12.7109375" style="336" customWidth="1"/>
    <col min="6158" max="6158" width="16.85546875" style="336" customWidth="1"/>
    <col min="6159" max="6159" width="12.140625" style="336" customWidth="1"/>
    <col min="6160" max="6160" width="15.140625" style="336" customWidth="1"/>
    <col min="6161" max="6187" width="8" style="336" customWidth="1"/>
    <col min="6188" max="6400" width="8" style="336"/>
    <col min="6401" max="6402" width="0" style="336" hidden="1" customWidth="1"/>
    <col min="6403" max="6403" width="6" style="336" customWidth="1"/>
    <col min="6404" max="6404" width="42.140625" style="336" customWidth="1"/>
    <col min="6405" max="6405" width="14.140625" style="336" customWidth="1"/>
    <col min="6406" max="6406" width="12.7109375" style="336" customWidth="1"/>
    <col min="6407" max="6407" width="13.5703125" style="336" customWidth="1"/>
    <col min="6408" max="6408" width="14" style="336" customWidth="1"/>
    <col min="6409" max="6409" width="13.85546875" style="336" customWidth="1"/>
    <col min="6410" max="6410" width="12.5703125" style="336" customWidth="1"/>
    <col min="6411" max="6413" width="12.7109375" style="336" customWidth="1"/>
    <col min="6414" max="6414" width="16.85546875" style="336" customWidth="1"/>
    <col min="6415" max="6415" width="12.140625" style="336" customWidth="1"/>
    <col min="6416" max="6416" width="15.140625" style="336" customWidth="1"/>
    <col min="6417" max="6443" width="8" style="336" customWidth="1"/>
    <col min="6444" max="6656" width="8" style="336"/>
    <col min="6657" max="6658" width="0" style="336" hidden="1" customWidth="1"/>
    <col min="6659" max="6659" width="6" style="336" customWidth="1"/>
    <col min="6660" max="6660" width="42.140625" style="336" customWidth="1"/>
    <col min="6661" max="6661" width="14.140625" style="336" customWidth="1"/>
    <col min="6662" max="6662" width="12.7109375" style="336" customWidth="1"/>
    <col min="6663" max="6663" width="13.5703125" style="336" customWidth="1"/>
    <col min="6664" max="6664" width="14" style="336" customWidth="1"/>
    <col min="6665" max="6665" width="13.85546875" style="336" customWidth="1"/>
    <col min="6666" max="6666" width="12.5703125" style="336" customWidth="1"/>
    <col min="6667" max="6669" width="12.7109375" style="336" customWidth="1"/>
    <col min="6670" max="6670" width="16.85546875" style="336" customWidth="1"/>
    <col min="6671" max="6671" width="12.140625" style="336" customWidth="1"/>
    <col min="6672" max="6672" width="15.140625" style="336" customWidth="1"/>
    <col min="6673" max="6699" width="8" style="336" customWidth="1"/>
    <col min="6700" max="6912" width="8" style="336"/>
    <col min="6913" max="6914" width="0" style="336" hidden="1" customWidth="1"/>
    <col min="6915" max="6915" width="6" style="336" customWidth="1"/>
    <col min="6916" max="6916" width="42.140625" style="336" customWidth="1"/>
    <col min="6917" max="6917" width="14.140625" style="336" customWidth="1"/>
    <col min="6918" max="6918" width="12.7109375" style="336" customWidth="1"/>
    <col min="6919" max="6919" width="13.5703125" style="336" customWidth="1"/>
    <col min="6920" max="6920" width="14" style="336" customWidth="1"/>
    <col min="6921" max="6921" width="13.85546875" style="336" customWidth="1"/>
    <col min="6922" max="6922" width="12.5703125" style="336" customWidth="1"/>
    <col min="6923" max="6925" width="12.7109375" style="336" customWidth="1"/>
    <col min="6926" max="6926" width="16.85546875" style="336" customWidth="1"/>
    <col min="6927" max="6927" width="12.140625" style="336" customWidth="1"/>
    <col min="6928" max="6928" width="15.140625" style="336" customWidth="1"/>
    <col min="6929" max="6955" width="8" style="336" customWidth="1"/>
    <col min="6956" max="7168" width="8" style="336"/>
    <col min="7169" max="7170" width="0" style="336" hidden="1" customWidth="1"/>
    <col min="7171" max="7171" width="6" style="336" customWidth="1"/>
    <col min="7172" max="7172" width="42.140625" style="336" customWidth="1"/>
    <col min="7173" max="7173" width="14.140625" style="336" customWidth="1"/>
    <col min="7174" max="7174" width="12.7109375" style="336" customWidth="1"/>
    <col min="7175" max="7175" width="13.5703125" style="336" customWidth="1"/>
    <col min="7176" max="7176" width="14" style="336" customWidth="1"/>
    <col min="7177" max="7177" width="13.85546875" style="336" customWidth="1"/>
    <col min="7178" max="7178" width="12.5703125" style="336" customWidth="1"/>
    <col min="7179" max="7181" width="12.7109375" style="336" customWidth="1"/>
    <col min="7182" max="7182" width="16.85546875" style="336" customWidth="1"/>
    <col min="7183" max="7183" width="12.140625" style="336" customWidth="1"/>
    <col min="7184" max="7184" width="15.140625" style="336" customWidth="1"/>
    <col min="7185" max="7211" width="8" style="336" customWidth="1"/>
    <col min="7212" max="7424" width="8" style="336"/>
    <col min="7425" max="7426" width="0" style="336" hidden="1" customWidth="1"/>
    <col min="7427" max="7427" width="6" style="336" customWidth="1"/>
    <col min="7428" max="7428" width="42.140625" style="336" customWidth="1"/>
    <col min="7429" max="7429" width="14.140625" style="336" customWidth="1"/>
    <col min="7430" max="7430" width="12.7109375" style="336" customWidth="1"/>
    <col min="7431" max="7431" width="13.5703125" style="336" customWidth="1"/>
    <col min="7432" max="7432" width="14" style="336" customWidth="1"/>
    <col min="7433" max="7433" width="13.85546875" style="336" customWidth="1"/>
    <col min="7434" max="7434" width="12.5703125" style="336" customWidth="1"/>
    <col min="7435" max="7437" width="12.7109375" style="336" customWidth="1"/>
    <col min="7438" max="7438" width="16.85546875" style="336" customWidth="1"/>
    <col min="7439" max="7439" width="12.140625" style="336" customWidth="1"/>
    <col min="7440" max="7440" width="15.140625" style="336" customWidth="1"/>
    <col min="7441" max="7467" width="8" style="336" customWidth="1"/>
    <col min="7468" max="7680" width="8" style="336"/>
    <col min="7681" max="7682" width="0" style="336" hidden="1" customWidth="1"/>
    <col min="7683" max="7683" width="6" style="336" customWidth="1"/>
    <col min="7684" max="7684" width="42.140625" style="336" customWidth="1"/>
    <col min="7685" max="7685" width="14.140625" style="336" customWidth="1"/>
    <col min="7686" max="7686" width="12.7109375" style="336" customWidth="1"/>
    <col min="7687" max="7687" width="13.5703125" style="336" customWidth="1"/>
    <col min="7688" max="7688" width="14" style="336" customWidth="1"/>
    <col min="7689" max="7689" width="13.85546875" style="336" customWidth="1"/>
    <col min="7690" max="7690" width="12.5703125" style="336" customWidth="1"/>
    <col min="7691" max="7693" width="12.7109375" style="336" customWidth="1"/>
    <col min="7694" max="7694" width="16.85546875" style="336" customWidth="1"/>
    <col min="7695" max="7695" width="12.140625" style="336" customWidth="1"/>
    <col min="7696" max="7696" width="15.140625" style="336" customWidth="1"/>
    <col min="7697" max="7723" width="8" style="336" customWidth="1"/>
    <col min="7724" max="7936" width="8" style="336"/>
    <col min="7937" max="7938" width="0" style="336" hidden="1" customWidth="1"/>
    <col min="7939" max="7939" width="6" style="336" customWidth="1"/>
    <col min="7940" max="7940" width="42.140625" style="336" customWidth="1"/>
    <col min="7941" max="7941" width="14.140625" style="336" customWidth="1"/>
    <col min="7942" max="7942" width="12.7109375" style="336" customWidth="1"/>
    <col min="7943" max="7943" width="13.5703125" style="336" customWidth="1"/>
    <col min="7944" max="7944" width="14" style="336" customWidth="1"/>
    <col min="7945" max="7945" width="13.85546875" style="336" customWidth="1"/>
    <col min="7946" max="7946" width="12.5703125" style="336" customWidth="1"/>
    <col min="7947" max="7949" width="12.7109375" style="336" customWidth="1"/>
    <col min="7950" max="7950" width="16.85546875" style="336" customWidth="1"/>
    <col min="7951" max="7951" width="12.140625" style="336" customWidth="1"/>
    <col min="7952" max="7952" width="15.140625" style="336" customWidth="1"/>
    <col min="7953" max="7979" width="8" style="336" customWidth="1"/>
    <col min="7980" max="8192" width="8" style="336"/>
    <col min="8193" max="8194" width="0" style="336" hidden="1" customWidth="1"/>
    <col min="8195" max="8195" width="6" style="336" customWidth="1"/>
    <col min="8196" max="8196" width="42.140625" style="336" customWidth="1"/>
    <col min="8197" max="8197" width="14.140625" style="336" customWidth="1"/>
    <col min="8198" max="8198" width="12.7109375" style="336" customWidth="1"/>
    <col min="8199" max="8199" width="13.5703125" style="336" customWidth="1"/>
    <col min="8200" max="8200" width="14" style="336" customWidth="1"/>
    <col min="8201" max="8201" width="13.85546875" style="336" customWidth="1"/>
    <col min="8202" max="8202" width="12.5703125" style="336" customWidth="1"/>
    <col min="8203" max="8205" width="12.7109375" style="336" customWidth="1"/>
    <col min="8206" max="8206" width="16.85546875" style="336" customWidth="1"/>
    <col min="8207" max="8207" width="12.140625" style="336" customWidth="1"/>
    <col min="8208" max="8208" width="15.140625" style="336" customWidth="1"/>
    <col min="8209" max="8235" width="8" style="336" customWidth="1"/>
    <col min="8236" max="8448" width="8" style="336"/>
    <col min="8449" max="8450" width="0" style="336" hidden="1" customWidth="1"/>
    <col min="8451" max="8451" width="6" style="336" customWidth="1"/>
    <col min="8452" max="8452" width="42.140625" style="336" customWidth="1"/>
    <col min="8453" max="8453" width="14.140625" style="336" customWidth="1"/>
    <col min="8454" max="8454" width="12.7109375" style="336" customWidth="1"/>
    <col min="8455" max="8455" width="13.5703125" style="336" customWidth="1"/>
    <col min="8456" max="8456" width="14" style="336" customWidth="1"/>
    <col min="8457" max="8457" width="13.85546875" style="336" customWidth="1"/>
    <col min="8458" max="8458" width="12.5703125" style="336" customWidth="1"/>
    <col min="8459" max="8461" width="12.7109375" style="336" customWidth="1"/>
    <col min="8462" max="8462" width="16.85546875" style="336" customWidth="1"/>
    <col min="8463" max="8463" width="12.140625" style="336" customWidth="1"/>
    <col min="8464" max="8464" width="15.140625" style="336" customWidth="1"/>
    <col min="8465" max="8491" width="8" style="336" customWidth="1"/>
    <col min="8492" max="8704" width="8" style="336"/>
    <col min="8705" max="8706" width="0" style="336" hidden="1" customWidth="1"/>
    <col min="8707" max="8707" width="6" style="336" customWidth="1"/>
    <col min="8708" max="8708" width="42.140625" style="336" customWidth="1"/>
    <col min="8709" max="8709" width="14.140625" style="336" customWidth="1"/>
    <col min="8710" max="8710" width="12.7109375" style="336" customWidth="1"/>
    <col min="8711" max="8711" width="13.5703125" style="336" customWidth="1"/>
    <col min="8712" max="8712" width="14" style="336" customWidth="1"/>
    <col min="8713" max="8713" width="13.85546875" style="336" customWidth="1"/>
    <col min="8714" max="8714" width="12.5703125" style="336" customWidth="1"/>
    <col min="8715" max="8717" width="12.7109375" style="336" customWidth="1"/>
    <col min="8718" max="8718" width="16.85546875" style="336" customWidth="1"/>
    <col min="8719" max="8719" width="12.140625" style="336" customWidth="1"/>
    <col min="8720" max="8720" width="15.140625" style="336" customWidth="1"/>
    <col min="8721" max="8747" width="8" style="336" customWidth="1"/>
    <col min="8748" max="8960" width="8" style="336"/>
    <col min="8961" max="8962" width="0" style="336" hidden="1" customWidth="1"/>
    <col min="8963" max="8963" width="6" style="336" customWidth="1"/>
    <col min="8964" max="8964" width="42.140625" style="336" customWidth="1"/>
    <col min="8965" max="8965" width="14.140625" style="336" customWidth="1"/>
    <col min="8966" max="8966" width="12.7109375" style="336" customWidth="1"/>
    <col min="8967" max="8967" width="13.5703125" style="336" customWidth="1"/>
    <col min="8968" max="8968" width="14" style="336" customWidth="1"/>
    <col min="8969" max="8969" width="13.85546875" style="336" customWidth="1"/>
    <col min="8970" max="8970" width="12.5703125" style="336" customWidth="1"/>
    <col min="8971" max="8973" width="12.7109375" style="336" customWidth="1"/>
    <col min="8974" max="8974" width="16.85546875" style="336" customWidth="1"/>
    <col min="8975" max="8975" width="12.140625" style="336" customWidth="1"/>
    <col min="8976" max="8976" width="15.140625" style="336" customWidth="1"/>
    <col min="8977" max="9003" width="8" style="336" customWidth="1"/>
    <col min="9004" max="9216" width="8" style="336"/>
    <col min="9217" max="9218" width="0" style="336" hidden="1" customWidth="1"/>
    <col min="9219" max="9219" width="6" style="336" customWidth="1"/>
    <col min="9220" max="9220" width="42.140625" style="336" customWidth="1"/>
    <col min="9221" max="9221" width="14.140625" style="336" customWidth="1"/>
    <col min="9222" max="9222" width="12.7109375" style="336" customWidth="1"/>
    <col min="9223" max="9223" width="13.5703125" style="336" customWidth="1"/>
    <col min="9224" max="9224" width="14" style="336" customWidth="1"/>
    <col min="9225" max="9225" width="13.85546875" style="336" customWidth="1"/>
    <col min="9226" max="9226" width="12.5703125" style="336" customWidth="1"/>
    <col min="9227" max="9229" width="12.7109375" style="336" customWidth="1"/>
    <col min="9230" max="9230" width="16.85546875" style="336" customWidth="1"/>
    <col min="9231" max="9231" width="12.140625" style="336" customWidth="1"/>
    <col min="9232" max="9232" width="15.140625" style="336" customWidth="1"/>
    <col min="9233" max="9259" width="8" style="336" customWidth="1"/>
    <col min="9260" max="9472" width="8" style="336"/>
    <col min="9473" max="9474" width="0" style="336" hidden="1" customWidth="1"/>
    <col min="9475" max="9475" width="6" style="336" customWidth="1"/>
    <col min="9476" max="9476" width="42.140625" style="336" customWidth="1"/>
    <col min="9477" max="9477" width="14.140625" style="336" customWidth="1"/>
    <col min="9478" max="9478" width="12.7109375" style="336" customWidth="1"/>
    <col min="9479" max="9479" width="13.5703125" style="336" customWidth="1"/>
    <col min="9480" max="9480" width="14" style="336" customWidth="1"/>
    <col min="9481" max="9481" width="13.85546875" style="336" customWidth="1"/>
    <col min="9482" max="9482" width="12.5703125" style="336" customWidth="1"/>
    <col min="9483" max="9485" width="12.7109375" style="336" customWidth="1"/>
    <col min="9486" max="9486" width="16.85546875" style="336" customWidth="1"/>
    <col min="9487" max="9487" width="12.140625" style="336" customWidth="1"/>
    <col min="9488" max="9488" width="15.140625" style="336" customWidth="1"/>
    <col min="9489" max="9515" width="8" style="336" customWidth="1"/>
    <col min="9516" max="9728" width="8" style="336"/>
    <col min="9729" max="9730" width="0" style="336" hidden="1" customWidth="1"/>
    <col min="9731" max="9731" width="6" style="336" customWidth="1"/>
    <col min="9732" max="9732" width="42.140625" style="336" customWidth="1"/>
    <col min="9733" max="9733" width="14.140625" style="336" customWidth="1"/>
    <col min="9734" max="9734" width="12.7109375" style="336" customWidth="1"/>
    <col min="9735" max="9735" width="13.5703125" style="336" customWidth="1"/>
    <col min="9736" max="9736" width="14" style="336" customWidth="1"/>
    <col min="9737" max="9737" width="13.85546875" style="336" customWidth="1"/>
    <col min="9738" max="9738" width="12.5703125" style="336" customWidth="1"/>
    <col min="9739" max="9741" width="12.7109375" style="336" customWidth="1"/>
    <col min="9742" max="9742" width="16.85546875" style="336" customWidth="1"/>
    <col min="9743" max="9743" width="12.140625" style="336" customWidth="1"/>
    <col min="9744" max="9744" width="15.140625" style="336" customWidth="1"/>
    <col min="9745" max="9771" width="8" style="336" customWidth="1"/>
    <col min="9772" max="9984" width="8" style="336"/>
    <col min="9985" max="9986" width="0" style="336" hidden="1" customWidth="1"/>
    <col min="9987" max="9987" width="6" style="336" customWidth="1"/>
    <col min="9988" max="9988" width="42.140625" style="336" customWidth="1"/>
    <col min="9989" max="9989" width="14.140625" style="336" customWidth="1"/>
    <col min="9990" max="9990" width="12.7109375" style="336" customWidth="1"/>
    <col min="9991" max="9991" width="13.5703125" style="336" customWidth="1"/>
    <col min="9992" max="9992" width="14" style="336" customWidth="1"/>
    <col min="9993" max="9993" width="13.85546875" style="336" customWidth="1"/>
    <col min="9994" max="9994" width="12.5703125" style="336" customWidth="1"/>
    <col min="9995" max="9997" width="12.7109375" style="336" customWidth="1"/>
    <col min="9998" max="9998" width="16.85546875" style="336" customWidth="1"/>
    <col min="9999" max="9999" width="12.140625" style="336" customWidth="1"/>
    <col min="10000" max="10000" width="15.140625" style="336" customWidth="1"/>
    <col min="10001" max="10027" width="8" style="336" customWidth="1"/>
    <col min="10028" max="10240" width="8" style="336"/>
    <col min="10241" max="10242" width="0" style="336" hidden="1" customWidth="1"/>
    <col min="10243" max="10243" width="6" style="336" customWidth="1"/>
    <col min="10244" max="10244" width="42.140625" style="336" customWidth="1"/>
    <col min="10245" max="10245" width="14.140625" style="336" customWidth="1"/>
    <col min="10246" max="10246" width="12.7109375" style="336" customWidth="1"/>
    <col min="10247" max="10247" width="13.5703125" style="336" customWidth="1"/>
    <col min="10248" max="10248" width="14" style="336" customWidth="1"/>
    <col min="10249" max="10249" width="13.85546875" style="336" customWidth="1"/>
    <col min="10250" max="10250" width="12.5703125" style="336" customWidth="1"/>
    <col min="10251" max="10253" width="12.7109375" style="336" customWidth="1"/>
    <col min="10254" max="10254" width="16.85546875" style="336" customWidth="1"/>
    <col min="10255" max="10255" width="12.140625" style="336" customWidth="1"/>
    <col min="10256" max="10256" width="15.140625" style="336" customWidth="1"/>
    <col min="10257" max="10283" width="8" style="336" customWidth="1"/>
    <col min="10284" max="10496" width="8" style="336"/>
    <col min="10497" max="10498" width="0" style="336" hidden="1" customWidth="1"/>
    <col min="10499" max="10499" width="6" style="336" customWidth="1"/>
    <col min="10500" max="10500" width="42.140625" style="336" customWidth="1"/>
    <col min="10501" max="10501" width="14.140625" style="336" customWidth="1"/>
    <col min="10502" max="10502" width="12.7109375" style="336" customWidth="1"/>
    <col min="10503" max="10503" width="13.5703125" style="336" customWidth="1"/>
    <col min="10504" max="10504" width="14" style="336" customWidth="1"/>
    <col min="10505" max="10505" width="13.85546875" style="336" customWidth="1"/>
    <col min="10506" max="10506" width="12.5703125" style="336" customWidth="1"/>
    <col min="10507" max="10509" width="12.7109375" style="336" customWidth="1"/>
    <col min="10510" max="10510" width="16.85546875" style="336" customWidth="1"/>
    <col min="10511" max="10511" width="12.140625" style="336" customWidth="1"/>
    <col min="10512" max="10512" width="15.140625" style="336" customWidth="1"/>
    <col min="10513" max="10539" width="8" style="336" customWidth="1"/>
    <col min="10540" max="10752" width="8" style="336"/>
    <col min="10753" max="10754" width="0" style="336" hidden="1" customWidth="1"/>
    <col min="10755" max="10755" width="6" style="336" customWidth="1"/>
    <col min="10756" max="10756" width="42.140625" style="336" customWidth="1"/>
    <col min="10757" max="10757" width="14.140625" style="336" customWidth="1"/>
    <col min="10758" max="10758" width="12.7109375" style="336" customWidth="1"/>
    <col min="10759" max="10759" width="13.5703125" style="336" customWidth="1"/>
    <col min="10760" max="10760" width="14" style="336" customWidth="1"/>
    <col min="10761" max="10761" width="13.85546875" style="336" customWidth="1"/>
    <col min="10762" max="10762" width="12.5703125" style="336" customWidth="1"/>
    <col min="10763" max="10765" width="12.7109375" style="336" customWidth="1"/>
    <col min="10766" max="10766" width="16.85546875" style="336" customWidth="1"/>
    <col min="10767" max="10767" width="12.140625" style="336" customWidth="1"/>
    <col min="10768" max="10768" width="15.140625" style="336" customWidth="1"/>
    <col min="10769" max="10795" width="8" style="336" customWidth="1"/>
    <col min="10796" max="11008" width="8" style="336"/>
    <col min="11009" max="11010" width="0" style="336" hidden="1" customWidth="1"/>
    <col min="11011" max="11011" width="6" style="336" customWidth="1"/>
    <col min="11012" max="11012" width="42.140625" style="336" customWidth="1"/>
    <col min="11013" max="11013" width="14.140625" style="336" customWidth="1"/>
    <col min="11014" max="11014" width="12.7109375" style="336" customWidth="1"/>
    <col min="11015" max="11015" width="13.5703125" style="336" customWidth="1"/>
    <col min="11016" max="11016" width="14" style="336" customWidth="1"/>
    <col min="11017" max="11017" width="13.85546875" style="336" customWidth="1"/>
    <col min="11018" max="11018" width="12.5703125" style="336" customWidth="1"/>
    <col min="11019" max="11021" width="12.7109375" style="336" customWidth="1"/>
    <col min="11022" max="11022" width="16.85546875" style="336" customWidth="1"/>
    <col min="11023" max="11023" width="12.140625" style="336" customWidth="1"/>
    <col min="11024" max="11024" width="15.140625" style="336" customWidth="1"/>
    <col min="11025" max="11051" width="8" style="336" customWidth="1"/>
    <col min="11052" max="11264" width="8" style="336"/>
    <col min="11265" max="11266" width="0" style="336" hidden="1" customWidth="1"/>
    <col min="11267" max="11267" width="6" style="336" customWidth="1"/>
    <col min="11268" max="11268" width="42.140625" style="336" customWidth="1"/>
    <col min="11269" max="11269" width="14.140625" style="336" customWidth="1"/>
    <col min="11270" max="11270" width="12.7109375" style="336" customWidth="1"/>
    <col min="11271" max="11271" width="13.5703125" style="336" customWidth="1"/>
    <col min="11272" max="11272" width="14" style="336" customWidth="1"/>
    <col min="11273" max="11273" width="13.85546875" style="336" customWidth="1"/>
    <col min="11274" max="11274" width="12.5703125" style="336" customWidth="1"/>
    <col min="11275" max="11277" width="12.7109375" style="336" customWidth="1"/>
    <col min="11278" max="11278" width="16.85546875" style="336" customWidth="1"/>
    <col min="11279" max="11279" width="12.140625" style="336" customWidth="1"/>
    <col min="11280" max="11280" width="15.140625" style="336" customWidth="1"/>
    <col min="11281" max="11307" width="8" style="336" customWidth="1"/>
    <col min="11308" max="11520" width="8" style="336"/>
    <col min="11521" max="11522" width="0" style="336" hidden="1" customWidth="1"/>
    <col min="11523" max="11523" width="6" style="336" customWidth="1"/>
    <col min="11524" max="11524" width="42.140625" style="336" customWidth="1"/>
    <col min="11525" max="11525" width="14.140625" style="336" customWidth="1"/>
    <col min="11526" max="11526" width="12.7109375" style="336" customWidth="1"/>
    <col min="11527" max="11527" width="13.5703125" style="336" customWidth="1"/>
    <col min="11528" max="11528" width="14" style="336" customWidth="1"/>
    <col min="11529" max="11529" width="13.85546875" style="336" customWidth="1"/>
    <col min="11530" max="11530" width="12.5703125" style="336" customWidth="1"/>
    <col min="11531" max="11533" width="12.7109375" style="336" customWidth="1"/>
    <col min="11534" max="11534" width="16.85546875" style="336" customWidth="1"/>
    <col min="11535" max="11535" width="12.140625" style="336" customWidth="1"/>
    <col min="11536" max="11536" width="15.140625" style="336" customWidth="1"/>
    <col min="11537" max="11563" width="8" style="336" customWidth="1"/>
    <col min="11564" max="11776" width="8" style="336"/>
    <col min="11777" max="11778" width="0" style="336" hidden="1" customWidth="1"/>
    <col min="11779" max="11779" width="6" style="336" customWidth="1"/>
    <col min="11780" max="11780" width="42.140625" style="336" customWidth="1"/>
    <col min="11781" max="11781" width="14.140625" style="336" customWidth="1"/>
    <col min="11782" max="11782" width="12.7109375" style="336" customWidth="1"/>
    <col min="11783" max="11783" width="13.5703125" style="336" customWidth="1"/>
    <col min="11784" max="11784" width="14" style="336" customWidth="1"/>
    <col min="11785" max="11785" width="13.85546875" style="336" customWidth="1"/>
    <col min="11786" max="11786" width="12.5703125" style="336" customWidth="1"/>
    <col min="11787" max="11789" width="12.7109375" style="336" customWidth="1"/>
    <col min="11790" max="11790" width="16.85546875" style="336" customWidth="1"/>
    <col min="11791" max="11791" width="12.140625" style="336" customWidth="1"/>
    <col min="11792" max="11792" width="15.140625" style="336" customWidth="1"/>
    <col min="11793" max="11819" width="8" style="336" customWidth="1"/>
    <col min="11820" max="12032" width="8" style="336"/>
    <col min="12033" max="12034" width="0" style="336" hidden="1" customWidth="1"/>
    <col min="12035" max="12035" width="6" style="336" customWidth="1"/>
    <col min="12036" max="12036" width="42.140625" style="336" customWidth="1"/>
    <col min="12037" max="12037" width="14.140625" style="336" customWidth="1"/>
    <col min="12038" max="12038" width="12.7109375" style="336" customWidth="1"/>
    <col min="12039" max="12039" width="13.5703125" style="336" customWidth="1"/>
    <col min="12040" max="12040" width="14" style="336" customWidth="1"/>
    <col min="12041" max="12041" width="13.85546875" style="336" customWidth="1"/>
    <col min="12042" max="12042" width="12.5703125" style="336" customWidth="1"/>
    <col min="12043" max="12045" width="12.7109375" style="336" customWidth="1"/>
    <col min="12046" max="12046" width="16.85546875" style="336" customWidth="1"/>
    <col min="12047" max="12047" width="12.140625" style="336" customWidth="1"/>
    <col min="12048" max="12048" width="15.140625" style="336" customWidth="1"/>
    <col min="12049" max="12075" width="8" style="336" customWidth="1"/>
    <col min="12076" max="12288" width="8" style="336"/>
    <col min="12289" max="12290" width="0" style="336" hidden="1" customWidth="1"/>
    <col min="12291" max="12291" width="6" style="336" customWidth="1"/>
    <col min="12292" max="12292" width="42.140625" style="336" customWidth="1"/>
    <col min="12293" max="12293" width="14.140625" style="336" customWidth="1"/>
    <col min="12294" max="12294" width="12.7109375" style="336" customWidth="1"/>
    <col min="12295" max="12295" width="13.5703125" style="336" customWidth="1"/>
    <col min="12296" max="12296" width="14" style="336" customWidth="1"/>
    <col min="12297" max="12297" width="13.85546875" style="336" customWidth="1"/>
    <col min="12298" max="12298" width="12.5703125" style="336" customWidth="1"/>
    <col min="12299" max="12301" width="12.7109375" style="336" customWidth="1"/>
    <col min="12302" max="12302" width="16.85546875" style="336" customWidth="1"/>
    <col min="12303" max="12303" width="12.140625" style="336" customWidth="1"/>
    <col min="12304" max="12304" width="15.140625" style="336" customWidth="1"/>
    <col min="12305" max="12331" width="8" style="336" customWidth="1"/>
    <col min="12332" max="12544" width="8" style="336"/>
    <col min="12545" max="12546" width="0" style="336" hidden="1" customWidth="1"/>
    <col min="12547" max="12547" width="6" style="336" customWidth="1"/>
    <col min="12548" max="12548" width="42.140625" style="336" customWidth="1"/>
    <col min="12549" max="12549" width="14.140625" style="336" customWidth="1"/>
    <col min="12550" max="12550" width="12.7109375" style="336" customWidth="1"/>
    <col min="12551" max="12551" width="13.5703125" style="336" customWidth="1"/>
    <col min="12552" max="12552" width="14" style="336" customWidth="1"/>
    <col min="12553" max="12553" width="13.85546875" style="336" customWidth="1"/>
    <col min="12554" max="12554" width="12.5703125" style="336" customWidth="1"/>
    <col min="12555" max="12557" width="12.7109375" style="336" customWidth="1"/>
    <col min="12558" max="12558" width="16.85546875" style="336" customWidth="1"/>
    <col min="12559" max="12559" width="12.140625" style="336" customWidth="1"/>
    <col min="12560" max="12560" width="15.140625" style="336" customWidth="1"/>
    <col min="12561" max="12587" width="8" style="336" customWidth="1"/>
    <col min="12588" max="12800" width="8" style="336"/>
    <col min="12801" max="12802" width="0" style="336" hidden="1" customWidth="1"/>
    <col min="12803" max="12803" width="6" style="336" customWidth="1"/>
    <col min="12804" max="12804" width="42.140625" style="336" customWidth="1"/>
    <col min="12805" max="12805" width="14.140625" style="336" customWidth="1"/>
    <col min="12806" max="12806" width="12.7109375" style="336" customWidth="1"/>
    <col min="12807" max="12807" width="13.5703125" style="336" customWidth="1"/>
    <col min="12808" max="12808" width="14" style="336" customWidth="1"/>
    <col min="12809" max="12809" width="13.85546875" style="336" customWidth="1"/>
    <col min="12810" max="12810" width="12.5703125" style="336" customWidth="1"/>
    <col min="12811" max="12813" width="12.7109375" style="336" customWidth="1"/>
    <col min="12814" max="12814" width="16.85546875" style="336" customWidth="1"/>
    <col min="12815" max="12815" width="12.140625" style="336" customWidth="1"/>
    <col min="12816" max="12816" width="15.140625" style="336" customWidth="1"/>
    <col min="12817" max="12843" width="8" style="336" customWidth="1"/>
    <col min="12844" max="13056" width="8" style="336"/>
    <col min="13057" max="13058" width="0" style="336" hidden="1" customWidth="1"/>
    <col min="13059" max="13059" width="6" style="336" customWidth="1"/>
    <col min="13060" max="13060" width="42.140625" style="336" customWidth="1"/>
    <col min="13061" max="13061" width="14.140625" style="336" customWidth="1"/>
    <col min="13062" max="13062" width="12.7109375" style="336" customWidth="1"/>
    <col min="13063" max="13063" width="13.5703125" style="336" customWidth="1"/>
    <col min="13064" max="13064" width="14" style="336" customWidth="1"/>
    <col min="13065" max="13065" width="13.85546875" style="336" customWidth="1"/>
    <col min="13066" max="13066" width="12.5703125" style="336" customWidth="1"/>
    <col min="13067" max="13069" width="12.7109375" style="336" customWidth="1"/>
    <col min="13070" max="13070" width="16.85546875" style="336" customWidth="1"/>
    <col min="13071" max="13071" width="12.140625" style="336" customWidth="1"/>
    <col min="13072" max="13072" width="15.140625" style="336" customWidth="1"/>
    <col min="13073" max="13099" width="8" style="336" customWidth="1"/>
    <col min="13100" max="13312" width="8" style="336"/>
    <col min="13313" max="13314" width="0" style="336" hidden="1" customWidth="1"/>
    <col min="13315" max="13315" width="6" style="336" customWidth="1"/>
    <col min="13316" max="13316" width="42.140625" style="336" customWidth="1"/>
    <col min="13317" max="13317" width="14.140625" style="336" customWidth="1"/>
    <col min="13318" max="13318" width="12.7109375" style="336" customWidth="1"/>
    <col min="13319" max="13319" width="13.5703125" style="336" customWidth="1"/>
    <col min="13320" max="13320" width="14" style="336" customWidth="1"/>
    <col min="13321" max="13321" width="13.85546875" style="336" customWidth="1"/>
    <col min="13322" max="13322" width="12.5703125" style="336" customWidth="1"/>
    <col min="13323" max="13325" width="12.7109375" style="336" customWidth="1"/>
    <col min="13326" max="13326" width="16.85546875" style="336" customWidth="1"/>
    <col min="13327" max="13327" width="12.140625" style="336" customWidth="1"/>
    <col min="13328" max="13328" width="15.140625" style="336" customWidth="1"/>
    <col min="13329" max="13355" width="8" style="336" customWidth="1"/>
    <col min="13356" max="13568" width="8" style="336"/>
    <col min="13569" max="13570" width="0" style="336" hidden="1" customWidth="1"/>
    <col min="13571" max="13571" width="6" style="336" customWidth="1"/>
    <col min="13572" max="13572" width="42.140625" style="336" customWidth="1"/>
    <col min="13573" max="13573" width="14.140625" style="336" customWidth="1"/>
    <col min="13574" max="13574" width="12.7109375" style="336" customWidth="1"/>
    <col min="13575" max="13575" width="13.5703125" style="336" customWidth="1"/>
    <col min="13576" max="13576" width="14" style="336" customWidth="1"/>
    <col min="13577" max="13577" width="13.85546875" style="336" customWidth="1"/>
    <col min="13578" max="13578" width="12.5703125" style="336" customWidth="1"/>
    <col min="13579" max="13581" width="12.7109375" style="336" customWidth="1"/>
    <col min="13582" max="13582" width="16.85546875" style="336" customWidth="1"/>
    <col min="13583" max="13583" width="12.140625" style="336" customWidth="1"/>
    <col min="13584" max="13584" width="15.140625" style="336" customWidth="1"/>
    <col min="13585" max="13611" width="8" style="336" customWidth="1"/>
    <col min="13612" max="13824" width="8" style="336"/>
    <col min="13825" max="13826" width="0" style="336" hidden="1" customWidth="1"/>
    <col min="13827" max="13827" width="6" style="336" customWidth="1"/>
    <col min="13828" max="13828" width="42.140625" style="336" customWidth="1"/>
    <col min="13829" max="13829" width="14.140625" style="336" customWidth="1"/>
    <col min="13830" max="13830" width="12.7109375" style="336" customWidth="1"/>
    <col min="13831" max="13831" width="13.5703125" style="336" customWidth="1"/>
    <col min="13832" max="13832" width="14" style="336" customWidth="1"/>
    <col min="13833" max="13833" width="13.85546875" style="336" customWidth="1"/>
    <col min="13834" max="13834" width="12.5703125" style="336" customWidth="1"/>
    <col min="13835" max="13837" width="12.7109375" style="336" customWidth="1"/>
    <col min="13838" max="13838" width="16.85546875" style="336" customWidth="1"/>
    <col min="13839" max="13839" width="12.140625" style="336" customWidth="1"/>
    <col min="13840" max="13840" width="15.140625" style="336" customWidth="1"/>
    <col min="13841" max="13867" width="8" style="336" customWidth="1"/>
    <col min="13868" max="14080" width="8" style="336"/>
    <col min="14081" max="14082" width="0" style="336" hidden="1" customWidth="1"/>
    <col min="14083" max="14083" width="6" style="336" customWidth="1"/>
    <col min="14084" max="14084" width="42.140625" style="336" customWidth="1"/>
    <col min="14085" max="14085" width="14.140625" style="336" customWidth="1"/>
    <col min="14086" max="14086" width="12.7109375" style="336" customWidth="1"/>
    <col min="14087" max="14087" width="13.5703125" style="336" customWidth="1"/>
    <col min="14088" max="14088" width="14" style="336" customWidth="1"/>
    <col min="14089" max="14089" width="13.85546875" style="336" customWidth="1"/>
    <col min="14090" max="14090" width="12.5703125" style="336" customWidth="1"/>
    <col min="14091" max="14093" width="12.7109375" style="336" customWidth="1"/>
    <col min="14094" max="14094" width="16.85546875" style="336" customWidth="1"/>
    <col min="14095" max="14095" width="12.140625" style="336" customWidth="1"/>
    <col min="14096" max="14096" width="15.140625" style="336" customWidth="1"/>
    <col min="14097" max="14123" width="8" style="336" customWidth="1"/>
    <col min="14124" max="14336" width="8" style="336"/>
    <col min="14337" max="14338" width="0" style="336" hidden="1" customWidth="1"/>
    <col min="14339" max="14339" width="6" style="336" customWidth="1"/>
    <col min="14340" max="14340" width="42.140625" style="336" customWidth="1"/>
    <col min="14341" max="14341" width="14.140625" style="336" customWidth="1"/>
    <col min="14342" max="14342" width="12.7109375" style="336" customWidth="1"/>
    <col min="14343" max="14343" width="13.5703125" style="336" customWidth="1"/>
    <col min="14344" max="14344" width="14" style="336" customWidth="1"/>
    <col min="14345" max="14345" width="13.85546875" style="336" customWidth="1"/>
    <col min="14346" max="14346" width="12.5703125" style="336" customWidth="1"/>
    <col min="14347" max="14349" width="12.7109375" style="336" customWidth="1"/>
    <col min="14350" max="14350" width="16.85546875" style="336" customWidth="1"/>
    <col min="14351" max="14351" width="12.140625" style="336" customWidth="1"/>
    <col min="14352" max="14352" width="15.140625" style="336" customWidth="1"/>
    <col min="14353" max="14379" width="8" style="336" customWidth="1"/>
    <col min="14380" max="14592" width="8" style="336"/>
    <col min="14593" max="14594" width="0" style="336" hidden="1" customWidth="1"/>
    <col min="14595" max="14595" width="6" style="336" customWidth="1"/>
    <col min="14596" max="14596" width="42.140625" style="336" customWidth="1"/>
    <col min="14597" max="14597" width="14.140625" style="336" customWidth="1"/>
    <col min="14598" max="14598" width="12.7109375" style="336" customWidth="1"/>
    <col min="14599" max="14599" width="13.5703125" style="336" customWidth="1"/>
    <col min="14600" max="14600" width="14" style="336" customWidth="1"/>
    <col min="14601" max="14601" width="13.85546875" style="336" customWidth="1"/>
    <col min="14602" max="14602" width="12.5703125" style="336" customWidth="1"/>
    <col min="14603" max="14605" width="12.7109375" style="336" customWidth="1"/>
    <col min="14606" max="14606" width="16.85546875" style="336" customWidth="1"/>
    <col min="14607" max="14607" width="12.140625" style="336" customWidth="1"/>
    <col min="14608" max="14608" width="15.140625" style="336" customWidth="1"/>
    <col min="14609" max="14635" width="8" style="336" customWidth="1"/>
    <col min="14636" max="14848" width="8" style="336"/>
    <col min="14849" max="14850" width="0" style="336" hidden="1" customWidth="1"/>
    <col min="14851" max="14851" width="6" style="336" customWidth="1"/>
    <col min="14852" max="14852" width="42.140625" style="336" customWidth="1"/>
    <col min="14853" max="14853" width="14.140625" style="336" customWidth="1"/>
    <col min="14854" max="14854" width="12.7109375" style="336" customWidth="1"/>
    <col min="14855" max="14855" width="13.5703125" style="336" customWidth="1"/>
    <col min="14856" max="14856" width="14" style="336" customWidth="1"/>
    <col min="14857" max="14857" width="13.85546875" style="336" customWidth="1"/>
    <col min="14858" max="14858" width="12.5703125" style="336" customWidth="1"/>
    <col min="14859" max="14861" width="12.7109375" style="336" customWidth="1"/>
    <col min="14862" max="14862" width="16.85546875" style="336" customWidth="1"/>
    <col min="14863" max="14863" width="12.140625" style="336" customWidth="1"/>
    <col min="14864" max="14864" width="15.140625" style="336" customWidth="1"/>
    <col min="14865" max="14891" width="8" style="336" customWidth="1"/>
    <col min="14892" max="15104" width="8" style="336"/>
    <col min="15105" max="15106" width="0" style="336" hidden="1" customWidth="1"/>
    <col min="15107" max="15107" width="6" style="336" customWidth="1"/>
    <col min="15108" max="15108" width="42.140625" style="336" customWidth="1"/>
    <col min="15109" max="15109" width="14.140625" style="336" customWidth="1"/>
    <col min="15110" max="15110" width="12.7109375" style="336" customWidth="1"/>
    <col min="15111" max="15111" width="13.5703125" style="336" customWidth="1"/>
    <col min="15112" max="15112" width="14" style="336" customWidth="1"/>
    <col min="15113" max="15113" width="13.85546875" style="336" customWidth="1"/>
    <col min="15114" max="15114" width="12.5703125" style="336" customWidth="1"/>
    <col min="15115" max="15117" width="12.7109375" style="336" customWidth="1"/>
    <col min="15118" max="15118" width="16.85546875" style="336" customWidth="1"/>
    <col min="15119" max="15119" width="12.140625" style="336" customWidth="1"/>
    <col min="15120" max="15120" width="15.140625" style="336" customWidth="1"/>
    <col min="15121" max="15147" width="8" style="336" customWidth="1"/>
    <col min="15148" max="15360" width="8" style="336"/>
    <col min="15361" max="15362" width="0" style="336" hidden="1" customWidth="1"/>
    <col min="15363" max="15363" width="6" style="336" customWidth="1"/>
    <col min="15364" max="15364" width="42.140625" style="336" customWidth="1"/>
    <col min="15365" max="15365" width="14.140625" style="336" customWidth="1"/>
    <col min="15366" max="15366" width="12.7109375" style="336" customWidth="1"/>
    <col min="15367" max="15367" width="13.5703125" style="336" customWidth="1"/>
    <col min="15368" max="15368" width="14" style="336" customWidth="1"/>
    <col min="15369" max="15369" width="13.85546875" style="336" customWidth="1"/>
    <col min="15370" max="15370" width="12.5703125" style="336" customWidth="1"/>
    <col min="15371" max="15373" width="12.7109375" style="336" customWidth="1"/>
    <col min="15374" max="15374" width="16.85546875" style="336" customWidth="1"/>
    <col min="15375" max="15375" width="12.140625" style="336" customWidth="1"/>
    <col min="15376" max="15376" width="15.140625" style="336" customWidth="1"/>
    <col min="15377" max="15403" width="8" style="336" customWidth="1"/>
    <col min="15404" max="15616" width="8" style="336"/>
    <col min="15617" max="15618" width="0" style="336" hidden="1" customWidth="1"/>
    <col min="15619" max="15619" width="6" style="336" customWidth="1"/>
    <col min="15620" max="15620" width="42.140625" style="336" customWidth="1"/>
    <col min="15621" max="15621" width="14.140625" style="336" customWidth="1"/>
    <col min="15622" max="15622" width="12.7109375" style="336" customWidth="1"/>
    <col min="15623" max="15623" width="13.5703125" style="336" customWidth="1"/>
    <col min="15624" max="15624" width="14" style="336" customWidth="1"/>
    <col min="15625" max="15625" width="13.85546875" style="336" customWidth="1"/>
    <col min="15626" max="15626" width="12.5703125" style="336" customWidth="1"/>
    <col min="15627" max="15629" width="12.7109375" style="336" customWidth="1"/>
    <col min="15630" max="15630" width="16.85546875" style="336" customWidth="1"/>
    <col min="15631" max="15631" width="12.140625" style="336" customWidth="1"/>
    <col min="15632" max="15632" width="15.140625" style="336" customWidth="1"/>
    <col min="15633" max="15659" width="8" style="336" customWidth="1"/>
    <col min="15660" max="15872" width="8" style="336"/>
    <col min="15873" max="15874" width="0" style="336" hidden="1" customWidth="1"/>
    <col min="15875" max="15875" width="6" style="336" customWidth="1"/>
    <col min="15876" max="15876" width="42.140625" style="336" customWidth="1"/>
    <col min="15877" max="15877" width="14.140625" style="336" customWidth="1"/>
    <col min="15878" max="15878" width="12.7109375" style="336" customWidth="1"/>
    <col min="15879" max="15879" width="13.5703125" style="336" customWidth="1"/>
    <col min="15880" max="15880" width="14" style="336" customWidth="1"/>
    <col min="15881" max="15881" width="13.85546875" style="336" customWidth="1"/>
    <col min="15882" max="15882" width="12.5703125" style="336" customWidth="1"/>
    <col min="15883" max="15885" width="12.7109375" style="336" customWidth="1"/>
    <col min="15886" max="15886" width="16.85546875" style="336" customWidth="1"/>
    <col min="15887" max="15887" width="12.140625" style="336" customWidth="1"/>
    <col min="15888" max="15888" width="15.140625" style="336" customWidth="1"/>
    <col min="15889" max="15915" width="8" style="336" customWidth="1"/>
    <col min="15916" max="16128" width="8" style="336"/>
    <col min="16129" max="16130" width="0" style="336" hidden="1" customWidth="1"/>
    <col min="16131" max="16131" width="6" style="336" customWidth="1"/>
    <col min="16132" max="16132" width="42.140625" style="336" customWidth="1"/>
    <col min="16133" max="16133" width="14.140625" style="336" customWidth="1"/>
    <col min="16134" max="16134" width="12.7109375" style="336" customWidth="1"/>
    <col min="16135" max="16135" width="13.5703125" style="336" customWidth="1"/>
    <col min="16136" max="16136" width="14" style="336" customWidth="1"/>
    <col min="16137" max="16137" width="13.85546875" style="336" customWidth="1"/>
    <col min="16138" max="16138" width="12.5703125" style="336" customWidth="1"/>
    <col min="16139" max="16141" width="12.7109375" style="336" customWidth="1"/>
    <col min="16142" max="16142" width="16.85546875" style="336" customWidth="1"/>
    <col min="16143" max="16143" width="12.140625" style="336" customWidth="1"/>
    <col min="16144" max="16144" width="15.140625" style="336" customWidth="1"/>
    <col min="16145" max="16171" width="8" style="336" customWidth="1"/>
    <col min="16172" max="16384" width="8" style="336"/>
  </cols>
  <sheetData>
    <row r="1" spans="1:43" s="279" customFormat="1">
      <c r="C1" s="280"/>
      <c r="D1" s="281"/>
      <c r="E1" s="282"/>
      <c r="F1" s="281"/>
      <c r="G1" s="281"/>
      <c r="H1" s="281"/>
      <c r="I1" s="281"/>
      <c r="J1" s="283"/>
      <c r="K1" s="283"/>
      <c r="L1" s="760"/>
      <c r="M1" s="761"/>
      <c r="N1" s="761"/>
      <c r="O1" s="284"/>
    </row>
    <row r="2" spans="1:43" s="279" customFormat="1" ht="12.75" customHeight="1">
      <c r="C2" s="280"/>
      <c r="D2" s="281"/>
      <c r="E2" s="282"/>
      <c r="F2" s="281"/>
      <c r="G2" s="281"/>
      <c r="H2" s="281"/>
      <c r="I2" s="281"/>
      <c r="J2" s="283"/>
      <c r="K2" s="283"/>
      <c r="L2" s="762" t="s">
        <v>1227</v>
      </c>
      <c r="M2" s="763"/>
      <c r="N2" s="763"/>
      <c r="O2" s="284"/>
    </row>
    <row r="3" spans="1:43" s="279" customFormat="1" ht="12.75" customHeight="1">
      <c r="C3" s="280"/>
      <c r="D3" s="281"/>
      <c r="E3" s="282"/>
      <c r="F3" s="281"/>
      <c r="G3" s="281"/>
      <c r="H3" s="281"/>
      <c r="I3" s="281"/>
      <c r="J3" s="283"/>
      <c r="K3" s="283"/>
      <c r="L3" s="764" t="s">
        <v>1228</v>
      </c>
      <c r="M3" s="764"/>
      <c r="N3" s="764"/>
      <c r="O3" s="764"/>
    </row>
    <row r="4" spans="1:43" s="279" customFormat="1">
      <c r="C4" s="280"/>
      <c r="D4" s="281"/>
      <c r="E4" s="282"/>
      <c r="F4" s="281"/>
      <c r="G4" s="281"/>
      <c r="H4" s="281"/>
      <c r="I4" s="281"/>
      <c r="J4" s="283"/>
      <c r="K4" s="283"/>
      <c r="L4" s="764"/>
      <c r="M4" s="764"/>
      <c r="N4" s="764"/>
      <c r="O4" s="764"/>
    </row>
    <row r="5" spans="1:43" s="279" customFormat="1">
      <c r="C5" s="280"/>
      <c r="D5" s="281"/>
      <c r="E5" s="282"/>
      <c r="F5" s="281"/>
      <c r="G5" s="281"/>
      <c r="H5" s="281"/>
      <c r="I5" s="281"/>
      <c r="J5" s="283"/>
      <c r="K5" s="283"/>
      <c r="L5" s="764"/>
      <c r="M5" s="764"/>
      <c r="N5" s="764"/>
      <c r="O5" s="764"/>
    </row>
    <row r="6" spans="1:43" s="279" customFormat="1">
      <c r="C6" s="280"/>
      <c r="D6" s="281"/>
      <c r="E6" s="282"/>
      <c r="F6" s="281"/>
      <c r="G6" s="281"/>
      <c r="H6" s="281"/>
      <c r="I6" s="281"/>
      <c r="J6" s="283"/>
      <c r="K6" s="283"/>
      <c r="L6" s="285"/>
      <c r="M6" s="285"/>
      <c r="N6" s="286"/>
    </row>
    <row r="7" spans="1:43" s="279" customFormat="1" ht="30.75" customHeight="1">
      <c r="B7" s="286"/>
      <c r="C7" s="467"/>
      <c r="D7" s="765" t="s">
        <v>1036</v>
      </c>
      <c r="E7" s="766"/>
      <c r="F7" s="766"/>
      <c r="G7" s="766"/>
      <c r="H7" s="766"/>
      <c r="I7" s="766"/>
      <c r="J7" s="766"/>
      <c r="K7" s="766"/>
      <c r="L7" s="766"/>
      <c r="M7" s="766"/>
      <c r="N7" s="766"/>
    </row>
    <row r="8" spans="1:43" s="279" customFormat="1" ht="16.5" customHeight="1">
      <c r="B8" s="286"/>
      <c r="C8" s="467"/>
      <c r="D8" s="467"/>
      <c r="E8" s="468"/>
      <c r="F8" s="767" t="s">
        <v>1037</v>
      </c>
      <c r="G8" s="768"/>
      <c r="H8" s="768"/>
      <c r="I8" s="768"/>
      <c r="J8" s="469"/>
      <c r="K8" s="467"/>
      <c r="L8" s="287"/>
      <c r="M8" s="287"/>
      <c r="N8" s="287"/>
    </row>
    <row r="9" spans="1:43" s="279" customFormat="1" ht="12.75" customHeight="1" thickBot="1">
      <c r="C9" s="288"/>
      <c r="D9" s="288"/>
      <c r="E9" s="289"/>
      <c r="F9" s="288"/>
      <c r="G9" s="288"/>
      <c r="H9" s="288"/>
      <c r="I9" s="288"/>
      <c r="J9" s="288"/>
      <c r="K9" s="288"/>
      <c r="L9" s="288"/>
      <c r="M9" s="288"/>
      <c r="N9" s="286"/>
      <c r="O9" s="290" t="s">
        <v>1038</v>
      </c>
    </row>
    <row r="10" spans="1:43" s="291" customFormat="1" ht="15" customHeight="1">
      <c r="C10" s="292"/>
      <c r="D10" s="754" t="s">
        <v>1039</v>
      </c>
      <c r="E10" s="756" t="s">
        <v>1040</v>
      </c>
      <c r="F10" s="758" t="s">
        <v>1041</v>
      </c>
      <c r="G10" s="759"/>
      <c r="H10" s="759"/>
      <c r="I10" s="759"/>
      <c r="J10" s="759"/>
      <c r="K10" s="759"/>
      <c r="L10" s="759"/>
      <c r="M10" s="759"/>
      <c r="N10" s="759"/>
      <c r="O10" s="759"/>
    </row>
    <row r="11" spans="1:43" s="291" customFormat="1" ht="34.5" customHeight="1">
      <c r="C11" s="293"/>
      <c r="D11" s="755"/>
      <c r="E11" s="757"/>
      <c r="F11" s="294" t="s">
        <v>1042</v>
      </c>
      <c r="G11" s="295" t="s">
        <v>1043</v>
      </c>
      <c r="H11" s="296" t="s">
        <v>1044</v>
      </c>
      <c r="I11" s="296" t="s">
        <v>1045</v>
      </c>
      <c r="J11" s="296" t="s">
        <v>1046</v>
      </c>
      <c r="K11" s="296" t="s">
        <v>1047</v>
      </c>
      <c r="L11" s="296" t="s">
        <v>1048</v>
      </c>
      <c r="M11" s="296" t="s">
        <v>1049</v>
      </c>
      <c r="N11" s="297" t="s">
        <v>1050</v>
      </c>
      <c r="O11" s="296" t="s">
        <v>1051</v>
      </c>
    </row>
    <row r="12" spans="1:43" s="291" customFormat="1" ht="13.5" thickBot="1">
      <c r="C12" s="298" t="s">
        <v>0</v>
      </c>
      <c r="D12" s="299" t="s">
        <v>1052</v>
      </c>
      <c r="E12" s="480">
        <v>1</v>
      </c>
      <c r="F12" s="300">
        <v>2</v>
      </c>
      <c r="G12" s="301">
        <f t="shared" ref="G12:N12" si="0">F12+1</f>
        <v>3</v>
      </c>
      <c r="H12" s="300">
        <f t="shared" si="0"/>
        <v>4</v>
      </c>
      <c r="I12" s="300">
        <f t="shared" si="0"/>
        <v>5</v>
      </c>
      <c r="J12" s="300">
        <f t="shared" si="0"/>
        <v>6</v>
      </c>
      <c r="K12" s="300">
        <f t="shared" si="0"/>
        <v>7</v>
      </c>
      <c r="L12" s="300">
        <f t="shared" si="0"/>
        <v>8</v>
      </c>
      <c r="M12" s="300">
        <f t="shared" si="0"/>
        <v>9</v>
      </c>
      <c r="N12" s="300">
        <f t="shared" si="0"/>
        <v>10</v>
      </c>
      <c r="O12" s="302">
        <v>11</v>
      </c>
    </row>
    <row r="13" spans="1:43" s="309" customFormat="1" ht="48" customHeight="1" thickBot="1">
      <c r="A13" s="303"/>
      <c r="B13" s="304"/>
      <c r="C13" s="305" t="s">
        <v>1053</v>
      </c>
      <c r="D13" s="306" t="s">
        <v>1054</v>
      </c>
      <c r="E13" s="481">
        <f>SUM(E14:E20)</f>
        <v>13251.60405</v>
      </c>
      <c r="F13" s="348">
        <f t="shared" ref="F13:N13" si="1">SUM(F14:F20)</f>
        <v>1391.9</v>
      </c>
      <c r="G13" s="348">
        <f t="shared" si="1"/>
        <v>1699.7</v>
      </c>
      <c r="H13" s="348">
        <f t="shared" si="1"/>
        <v>785.7</v>
      </c>
      <c r="I13" s="348">
        <f t="shared" si="1"/>
        <v>853.1</v>
      </c>
      <c r="J13" s="348">
        <f t="shared" si="1"/>
        <v>445.8</v>
      </c>
      <c r="K13" s="348">
        <f t="shared" si="1"/>
        <v>540.4</v>
      </c>
      <c r="L13" s="348">
        <f t="shared" si="1"/>
        <v>682.00000000000011</v>
      </c>
      <c r="M13" s="348">
        <f t="shared" si="1"/>
        <v>954.00000000000011</v>
      </c>
      <c r="N13" s="348">
        <f t="shared" si="1"/>
        <v>1532.3999999999999</v>
      </c>
      <c r="O13" s="348">
        <f>SUM(O14:O20)</f>
        <v>4366.6040499999999</v>
      </c>
      <c r="P13" s="307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</row>
    <row r="14" spans="1:43" s="291" customFormat="1" ht="27.75" customHeight="1">
      <c r="C14" s="310" t="s">
        <v>1</v>
      </c>
      <c r="D14" s="311" t="s">
        <v>1055</v>
      </c>
      <c r="E14" s="482">
        <f t="shared" ref="E14:E20" si="2">SUM(F14:O14)</f>
        <v>4469.5</v>
      </c>
      <c r="F14" s="350">
        <v>378.6</v>
      </c>
      <c r="G14" s="350">
        <v>513.6</v>
      </c>
      <c r="H14" s="350">
        <v>220.6</v>
      </c>
      <c r="I14" s="350">
        <v>312.60000000000002</v>
      </c>
      <c r="J14" s="350">
        <v>155.5</v>
      </c>
      <c r="K14" s="351">
        <v>216.8</v>
      </c>
      <c r="L14" s="351">
        <v>160.1</v>
      </c>
      <c r="M14" s="351">
        <v>236.4</v>
      </c>
      <c r="N14" s="352">
        <v>508.1</v>
      </c>
      <c r="O14" s="353">
        <f>1567.2+200</f>
        <v>1767.2</v>
      </c>
      <c r="P14" s="312"/>
    </row>
    <row r="15" spans="1:43" s="291" customFormat="1" ht="25.5">
      <c r="C15" s="313" t="s">
        <v>2</v>
      </c>
      <c r="D15" s="314" t="s">
        <v>1056</v>
      </c>
      <c r="E15" s="482">
        <f t="shared" si="2"/>
        <v>0</v>
      </c>
      <c r="F15" s="354"/>
      <c r="G15" s="354"/>
      <c r="H15" s="354"/>
      <c r="I15" s="354"/>
      <c r="J15" s="354"/>
      <c r="K15" s="355"/>
      <c r="L15" s="355"/>
      <c r="M15" s="355"/>
      <c r="N15" s="356"/>
      <c r="O15" s="357"/>
    </row>
    <row r="16" spans="1:43" s="291" customFormat="1" ht="78.75" customHeight="1">
      <c r="C16" s="315" t="s">
        <v>3</v>
      </c>
      <c r="D16" s="316" t="s">
        <v>1057</v>
      </c>
      <c r="E16" s="482">
        <f t="shared" si="2"/>
        <v>5613.8</v>
      </c>
      <c r="F16" s="358">
        <v>497.8</v>
      </c>
      <c r="G16" s="358">
        <v>675.3</v>
      </c>
      <c r="H16" s="358">
        <v>290.10000000000002</v>
      </c>
      <c r="I16" s="358">
        <v>411</v>
      </c>
      <c r="J16" s="358">
        <v>204.4</v>
      </c>
      <c r="K16" s="358">
        <v>285</v>
      </c>
      <c r="L16" s="358">
        <v>210.6</v>
      </c>
      <c r="M16" s="358">
        <v>310.8</v>
      </c>
      <c r="N16" s="359">
        <v>668</v>
      </c>
      <c r="O16" s="360">
        <v>2060.8000000000002</v>
      </c>
    </row>
    <row r="17" spans="1:43" s="291" customFormat="1" ht="25.5">
      <c r="C17" s="317" t="s">
        <v>4</v>
      </c>
      <c r="D17" s="318" t="s">
        <v>1058</v>
      </c>
      <c r="E17" s="482">
        <f t="shared" si="2"/>
        <v>2088.2000000000003</v>
      </c>
      <c r="F17" s="361">
        <f>363.64-0.04+100</f>
        <v>463.59999999999997</v>
      </c>
      <c r="G17" s="361">
        <f>181.82-0.02+200</f>
        <v>381.79999999999995</v>
      </c>
      <c r="H17" s="361">
        <f>136.37+0.03+100</f>
        <v>236.4</v>
      </c>
      <c r="I17" s="361">
        <f>90.91-0.01</f>
        <v>90.899999999999991</v>
      </c>
      <c r="J17" s="361">
        <f>47.28+0.02</f>
        <v>47.300000000000004</v>
      </c>
      <c r="K17" s="361"/>
      <c r="L17" s="361">
        <f>272.73-0.03</f>
        <v>272.70000000000005</v>
      </c>
      <c r="M17" s="361">
        <f>318.19+0.01+50</f>
        <v>368.2</v>
      </c>
      <c r="N17" s="361">
        <f>227.28+0.02</f>
        <v>227.3</v>
      </c>
      <c r="O17" s="360"/>
    </row>
    <row r="18" spans="1:43" s="291" customFormat="1" ht="41.25" customHeight="1">
      <c r="C18" s="477" t="s">
        <v>5</v>
      </c>
      <c r="D18" s="478" t="s">
        <v>1059</v>
      </c>
      <c r="E18" s="483">
        <f t="shared" ref="E18" si="3">SUM(F18:O18)</f>
        <v>541.50000000000011</v>
      </c>
      <c r="F18" s="358">
        <v>51.9</v>
      </c>
      <c r="G18" s="358">
        <v>129</v>
      </c>
      <c r="H18" s="358">
        <v>38.6</v>
      </c>
      <c r="I18" s="358">
        <v>38.6</v>
      </c>
      <c r="J18" s="358">
        <v>38.6</v>
      </c>
      <c r="K18" s="358">
        <v>38.6</v>
      </c>
      <c r="L18" s="358">
        <v>38.6</v>
      </c>
      <c r="M18" s="358">
        <v>38.6</v>
      </c>
      <c r="N18" s="359">
        <v>129</v>
      </c>
      <c r="O18" s="360"/>
    </row>
    <row r="19" spans="1:43" s="291" customFormat="1" ht="41.25" customHeight="1">
      <c r="C19" s="477" t="s">
        <v>1008</v>
      </c>
      <c r="D19" s="478" t="s">
        <v>1183</v>
      </c>
      <c r="E19" s="483">
        <f t="shared" si="2"/>
        <v>306</v>
      </c>
      <c r="F19" s="358"/>
      <c r="G19" s="358"/>
      <c r="H19" s="358"/>
      <c r="I19" s="358"/>
      <c r="J19" s="358"/>
      <c r="K19" s="358"/>
      <c r="L19" s="358"/>
      <c r="M19" s="358"/>
      <c r="N19" s="359"/>
      <c r="O19" s="360">
        <v>306</v>
      </c>
    </row>
    <row r="20" spans="1:43" s="291" customFormat="1" ht="41.25" customHeight="1" thickBot="1">
      <c r="C20" s="319" t="s">
        <v>1185</v>
      </c>
      <c r="D20" s="475" t="s">
        <v>1186</v>
      </c>
      <c r="E20" s="483">
        <f t="shared" si="2"/>
        <v>232.60405</v>
      </c>
      <c r="F20" s="362"/>
      <c r="G20" s="362"/>
      <c r="H20" s="362"/>
      <c r="I20" s="362"/>
      <c r="J20" s="362"/>
      <c r="K20" s="362"/>
      <c r="L20" s="362"/>
      <c r="M20" s="362"/>
      <c r="N20" s="363"/>
      <c r="O20" s="476">
        <f>94.5+138.10405</f>
        <v>232.60405</v>
      </c>
    </row>
    <row r="21" spans="1:43" s="324" customFormat="1" ht="43.5" thickBot="1">
      <c r="A21" s="320"/>
      <c r="B21" s="321"/>
      <c r="C21" s="322" t="s">
        <v>1060</v>
      </c>
      <c r="D21" s="323" t="s">
        <v>1061</v>
      </c>
      <c r="E21" s="484">
        <f>SUM(E22:E23)</f>
        <v>24220.916499999999</v>
      </c>
      <c r="F21" s="364">
        <f>SUM(F22:F23)</f>
        <v>2850.6434600000002</v>
      </c>
      <c r="G21" s="364">
        <f t="shared" ref="G21:O21" si="4">SUM(G22:G23)</f>
        <v>2579.1981999999998</v>
      </c>
      <c r="H21" s="364">
        <f t="shared" si="4"/>
        <v>2258.5193300000001</v>
      </c>
      <c r="I21" s="364">
        <f t="shared" si="4"/>
        <v>2983.6686200000004</v>
      </c>
      <c r="J21" s="364">
        <f t="shared" si="4"/>
        <v>2004.20354</v>
      </c>
      <c r="K21" s="364">
        <f t="shared" si="4"/>
        <v>2111.7162200000002</v>
      </c>
      <c r="L21" s="364">
        <f t="shared" si="4"/>
        <v>2346.8725800000002</v>
      </c>
      <c r="M21" s="364">
        <f t="shared" si="4"/>
        <v>3011.5462299999999</v>
      </c>
      <c r="N21" s="364">
        <f t="shared" si="4"/>
        <v>3775.6026499999998</v>
      </c>
      <c r="O21" s="364">
        <f t="shared" si="4"/>
        <v>298.94567000000001</v>
      </c>
      <c r="P21" s="307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</row>
    <row r="22" spans="1:43" s="291" customFormat="1" ht="57.75" customHeight="1">
      <c r="C22" s="325" t="s">
        <v>7</v>
      </c>
      <c r="D22" s="326" t="s">
        <v>1062</v>
      </c>
      <c r="E22" s="482">
        <f>SUM(F22:O22)</f>
        <v>20862.171999999999</v>
      </c>
      <c r="F22" s="365">
        <f>2622.1+36.36</f>
        <v>2658.46</v>
      </c>
      <c r="G22" s="365">
        <f>2137.3+18.18+150</f>
        <v>2305.48</v>
      </c>
      <c r="H22" s="365">
        <f>2061.6+13.63</f>
        <v>2075.23</v>
      </c>
      <c r="I22" s="365">
        <f>2503.9+9.09+200</f>
        <v>2712.9900000000002</v>
      </c>
      <c r="J22" s="366">
        <f>1492.2+4.72+300</f>
        <v>1796.92</v>
      </c>
      <c r="K22" s="367">
        <f>1629+200</f>
        <v>1829</v>
      </c>
      <c r="L22" s="367">
        <f>1798.5+245.59+27.45</f>
        <v>2071.54</v>
      </c>
      <c r="M22" s="367">
        <f>2152.2+31.812</f>
        <v>2184.0119999999997</v>
      </c>
      <c r="N22" s="367">
        <f>3205.82+22.72</f>
        <v>3228.54</v>
      </c>
      <c r="O22" s="357"/>
      <c r="P22" s="327"/>
      <c r="Q22" s="327"/>
    </row>
    <row r="23" spans="1:43" s="291" customFormat="1" ht="60">
      <c r="C23" s="341" t="s">
        <v>1175</v>
      </c>
      <c r="D23" s="110" t="s">
        <v>311</v>
      </c>
      <c r="E23" s="482">
        <f>SUM(E24:E29)</f>
        <v>3358.7445000000002</v>
      </c>
      <c r="F23" s="349">
        <f>SUM(F24:F29)</f>
        <v>192.18346</v>
      </c>
      <c r="G23" s="349">
        <f>SUM(G24:G29)</f>
        <v>273.71819999999997</v>
      </c>
      <c r="H23" s="349">
        <f>SUM(H24:H29)</f>
        <v>183.28933000000001</v>
      </c>
      <c r="I23" s="349">
        <f>SUM(I24:I29)</f>
        <v>270.67861999999997</v>
      </c>
      <c r="J23" s="349">
        <f t="shared" ref="J23:O23" si="5">SUM(J24:J29)</f>
        <v>207.28354000000002</v>
      </c>
      <c r="K23" s="349">
        <f>SUM(K24:K29)</f>
        <v>282.71622000000002</v>
      </c>
      <c r="L23" s="349">
        <f t="shared" si="5"/>
        <v>275.33258000000001</v>
      </c>
      <c r="M23" s="349">
        <f t="shared" si="5"/>
        <v>827.53423000000009</v>
      </c>
      <c r="N23" s="349">
        <f t="shared" si="5"/>
        <v>547.06264999999996</v>
      </c>
      <c r="O23" s="349">
        <f t="shared" si="5"/>
        <v>298.94567000000001</v>
      </c>
      <c r="P23" s="327"/>
      <c r="Q23" s="327"/>
    </row>
    <row r="24" spans="1:43" s="291" customFormat="1">
      <c r="C24" s="341" t="s">
        <v>1176</v>
      </c>
      <c r="D24" s="342" t="s">
        <v>1065</v>
      </c>
      <c r="E24" s="485">
        <f t="shared" ref="E24:E30" si="6">SUM(F24:O24)</f>
        <v>115.59999999999998</v>
      </c>
      <c r="F24" s="368">
        <v>13.6</v>
      </c>
      <c r="G24" s="368">
        <v>13.6</v>
      </c>
      <c r="H24" s="368">
        <v>13.6</v>
      </c>
      <c r="I24" s="368">
        <v>6.8</v>
      </c>
      <c r="J24" s="369">
        <v>13.6</v>
      </c>
      <c r="K24" s="370">
        <v>13.6</v>
      </c>
      <c r="L24" s="370">
        <v>13.6</v>
      </c>
      <c r="M24" s="370">
        <v>13.6</v>
      </c>
      <c r="N24" s="370">
        <v>6.8</v>
      </c>
      <c r="O24" s="357">
        <v>6.8</v>
      </c>
      <c r="P24" s="327"/>
      <c r="Q24" s="327"/>
    </row>
    <row r="25" spans="1:43" s="291" customFormat="1">
      <c r="C25" s="341" t="s">
        <v>1177</v>
      </c>
      <c r="D25" s="342" t="s">
        <v>72</v>
      </c>
      <c r="E25" s="517">
        <f t="shared" si="6"/>
        <v>476.37850000000003</v>
      </c>
      <c r="F25" s="368">
        <v>39.983460000000001</v>
      </c>
      <c r="G25" s="368">
        <f>48.3312</f>
        <v>48.331200000000003</v>
      </c>
      <c r="H25" s="368">
        <v>24.67333</v>
      </c>
      <c r="I25" s="368">
        <v>27.930620000000001</v>
      </c>
      <c r="J25" s="369">
        <v>10.07554</v>
      </c>
      <c r="K25" s="370">
        <v>15.14222</v>
      </c>
      <c r="L25" s="370">
        <v>22.17258</v>
      </c>
      <c r="M25" s="370">
        <v>170.10623000000001</v>
      </c>
      <c r="N25" s="370">
        <f>41.87665</f>
        <v>41.876649999999998</v>
      </c>
      <c r="O25" s="357">
        <v>76.086669999999998</v>
      </c>
      <c r="P25" s="327"/>
      <c r="Q25" s="327"/>
    </row>
    <row r="26" spans="1:43" s="470" customFormat="1">
      <c r="C26" s="471" t="s">
        <v>1178</v>
      </c>
      <c r="D26" s="318" t="s">
        <v>310</v>
      </c>
      <c r="E26" s="485">
        <f t="shared" si="6"/>
        <v>1020</v>
      </c>
      <c r="F26" s="472"/>
      <c r="G26" s="472">
        <v>60</v>
      </c>
      <c r="H26" s="472">
        <v>40</v>
      </c>
      <c r="I26" s="472"/>
      <c r="J26" s="472">
        <f>30</f>
        <v>30</v>
      </c>
      <c r="K26" s="472">
        <f>30+40</f>
        <v>70</v>
      </c>
      <c r="L26" s="472">
        <v>100</v>
      </c>
      <c r="M26" s="472">
        <f>100+120+200</f>
        <v>420</v>
      </c>
      <c r="N26" s="472">
        <f>250+50</f>
        <v>300</v>
      </c>
      <c r="O26" s="473"/>
      <c r="P26" s="474"/>
      <c r="Q26" s="474"/>
    </row>
    <row r="27" spans="1:43" s="291" customFormat="1">
      <c r="C27" s="341" t="s">
        <v>1179</v>
      </c>
      <c r="D27" s="342" t="s">
        <v>82</v>
      </c>
      <c r="E27" s="485">
        <f t="shared" si="6"/>
        <v>79.44</v>
      </c>
      <c r="F27" s="368"/>
      <c r="G27" s="368"/>
      <c r="H27" s="368">
        <f>550-550</f>
        <v>0</v>
      </c>
      <c r="I27" s="368"/>
      <c r="J27" s="369"/>
      <c r="K27" s="370"/>
      <c r="L27" s="370">
        <v>50</v>
      </c>
      <c r="M27" s="370">
        <f>18.44+11</f>
        <v>29.44</v>
      </c>
      <c r="N27" s="370"/>
      <c r="O27" s="357"/>
      <c r="P27" s="327"/>
      <c r="Q27" s="327"/>
    </row>
    <row r="28" spans="1:43" s="291" customFormat="1" ht="25.5">
      <c r="C28" s="341" t="s">
        <v>1180</v>
      </c>
      <c r="D28" s="342" t="s">
        <v>1066</v>
      </c>
      <c r="E28" s="485">
        <f t="shared" si="6"/>
        <v>1273.326</v>
      </c>
      <c r="F28" s="368">
        <f>40.2-40.2+91.6+47</f>
        <v>138.6</v>
      </c>
      <c r="G28" s="368">
        <f>43.5-43.5+99.1+52.687</f>
        <v>151.78699999999998</v>
      </c>
      <c r="H28" s="368">
        <f>29.2-29.2+66.7+38.316</f>
        <v>105.01600000000001</v>
      </c>
      <c r="I28" s="368">
        <f>43-43+98.1+37.848</f>
        <v>135.94799999999998</v>
      </c>
      <c r="J28" s="369">
        <f>22.8-22.8+51.9+37.708</f>
        <v>89.608000000000004</v>
      </c>
      <c r="K28" s="370">
        <f>25.5-25.5+58.2+25.774</f>
        <v>83.974000000000004</v>
      </c>
      <c r="L28" s="370">
        <f>26.8-26.8+61.1+28.46</f>
        <v>89.56</v>
      </c>
      <c r="M28" s="370">
        <f>27.5-27.5+62.7+31.688</f>
        <v>94.388000000000005</v>
      </c>
      <c r="N28" s="370">
        <f>50.7-50.7+115.6+52.786</f>
        <v>168.386</v>
      </c>
      <c r="O28" s="357">
        <f>64.3-64.3+146.6+69.459</f>
        <v>216.059</v>
      </c>
      <c r="P28" s="327"/>
      <c r="Q28" s="327"/>
    </row>
    <row r="29" spans="1:43" s="331" customFormat="1" ht="27" customHeight="1" thickBot="1">
      <c r="A29" s="328"/>
      <c r="B29" s="329"/>
      <c r="C29" s="330" t="s">
        <v>1181</v>
      </c>
      <c r="D29" s="110" t="s">
        <v>1187</v>
      </c>
      <c r="E29" s="486">
        <f t="shared" si="6"/>
        <v>394</v>
      </c>
      <c r="F29" s="371"/>
      <c r="G29" s="371"/>
      <c r="H29" s="371"/>
      <c r="I29" s="371">
        <v>100</v>
      </c>
      <c r="J29" s="371">
        <f>32+32</f>
        <v>64</v>
      </c>
      <c r="K29" s="371">
        <v>100</v>
      </c>
      <c r="L29" s="371"/>
      <c r="M29" s="371">
        <f>100</f>
        <v>100</v>
      </c>
      <c r="N29" s="372">
        <f>30</f>
        <v>30</v>
      </c>
      <c r="O29" s="373"/>
      <c r="P29" s="307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</row>
    <row r="30" spans="1:43" s="331" customFormat="1" ht="21.75" hidden="1" customHeight="1" thickBot="1">
      <c r="A30" s="328"/>
      <c r="B30" s="329"/>
      <c r="C30" s="332" t="s">
        <v>1064</v>
      </c>
      <c r="D30" s="333"/>
      <c r="E30" s="487">
        <f t="shared" si="6"/>
        <v>0</v>
      </c>
      <c r="F30" s="374"/>
      <c r="G30" s="374"/>
      <c r="H30" s="374"/>
      <c r="I30" s="374"/>
      <c r="J30" s="374"/>
      <c r="K30" s="374"/>
      <c r="L30" s="374"/>
      <c r="M30" s="374"/>
      <c r="N30" s="375"/>
      <c r="O30" s="373"/>
      <c r="P30" s="307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</row>
    <row r="31" spans="1:43" s="331" customFormat="1" ht="29.25" thickBot="1">
      <c r="A31" s="328"/>
      <c r="B31" s="329"/>
      <c r="C31" s="305" t="s">
        <v>1182</v>
      </c>
      <c r="D31" s="334" t="s">
        <v>1063</v>
      </c>
      <c r="E31" s="479">
        <f t="shared" ref="E31:O31" si="7">E13+E21</f>
        <v>37472.520550000001</v>
      </c>
      <c r="F31" s="376">
        <f t="shared" si="7"/>
        <v>4242.5434600000008</v>
      </c>
      <c r="G31" s="376">
        <f t="shared" si="7"/>
        <v>4278.8981999999996</v>
      </c>
      <c r="H31" s="376">
        <f t="shared" si="7"/>
        <v>3044.2193299999999</v>
      </c>
      <c r="I31" s="376">
        <f t="shared" si="7"/>
        <v>3836.7686200000003</v>
      </c>
      <c r="J31" s="376">
        <f t="shared" si="7"/>
        <v>2450.0035400000002</v>
      </c>
      <c r="K31" s="376">
        <f t="shared" si="7"/>
        <v>2652.1162200000003</v>
      </c>
      <c r="L31" s="376">
        <f t="shared" si="7"/>
        <v>3028.8725800000002</v>
      </c>
      <c r="M31" s="376">
        <f t="shared" si="7"/>
        <v>3965.5462299999999</v>
      </c>
      <c r="N31" s="376">
        <f t="shared" si="7"/>
        <v>5308.0026499999994</v>
      </c>
      <c r="O31" s="376">
        <f t="shared" si="7"/>
        <v>4665.54972</v>
      </c>
      <c r="P31" s="335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</row>
  </sheetData>
  <mergeCells count="8">
    <mergeCell ref="D10:D11"/>
    <mergeCell ref="E10:E11"/>
    <mergeCell ref="F10:O10"/>
    <mergeCell ref="L1:N1"/>
    <mergeCell ref="L2:N2"/>
    <mergeCell ref="L3:O5"/>
    <mergeCell ref="D7:N7"/>
    <mergeCell ref="F8:I8"/>
  </mergeCells>
  <pageMargins left="0.39370078740157483" right="0.15748031496062992" top="0.82677165354330717" bottom="0.19685039370078741" header="0.39370078740157483" footer="0.19685039370078741"/>
  <pageSetup paperSize="9" scale="57" firstPageNumber="150" fitToHeight="8" orientation="landscape" useFirstPageNumber="1" r:id="rId1"/>
  <headerFooter alignWithMargins="0"/>
  <colBreaks count="1" manualBreakCount="1">
    <brk id="19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>
      <selection activeCell="F16" sqref="F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 2</vt:lpstr>
      <vt:lpstr>прил 8 (разд, подразд)</vt:lpstr>
      <vt:lpstr>10 прил(гл.расп,расх)</vt:lpstr>
      <vt:lpstr>10 прил(гл.расп,расх) правка</vt:lpstr>
      <vt:lpstr>Прилож.14 (кап стр)</vt:lpstr>
      <vt:lpstr>пРИЛ 15 ПУБЛИЧН.</vt:lpstr>
      <vt:lpstr>Приложение 17 (2011)</vt:lpstr>
      <vt:lpstr>Лист1</vt:lpstr>
      <vt:lpstr>'10 прил(гл.расп,расх)'!В11</vt:lpstr>
      <vt:lpstr>'10 прил(гл.расп,расх) правка'!В11</vt:lpstr>
      <vt:lpstr>'10 прил(гл.расп,расх)'!Заголовки_для_печати</vt:lpstr>
      <vt:lpstr>'10 прил(гл.расп,расх) правка'!Заголовки_для_печати</vt:lpstr>
      <vt:lpstr>'прил 2'!Заголовки_для_печати</vt:lpstr>
      <vt:lpstr>'10 прил(гл.расп,расх)'!Область_печати</vt:lpstr>
      <vt:lpstr>'10 прил(гл.расп,расх) правка'!Область_печати</vt:lpstr>
      <vt:lpstr>'пРИЛ 15 ПУБЛИЧН.'!Область_печати</vt:lpstr>
      <vt:lpstr>'прил 8 (разд, подразд)'!Область_печати</vt:lpstr>
      <vt:lpstr>'Прилож.14 (кап стр)'!Область_печати</vt:lpstr>
      <vt:lpstr>'Приложение 17 (2011)'!Область_печати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Шалдин Евгений Юрьевич</cp:lastModifiedBy>
  <cp:lastPrinted>2011-12-05T08:51:34Z</cp:lastPrinted>
  <dcterms:created xsi:type="dcterms:W3CDTF">1996-10-08T23:32:33Z</dcterms:created>
  <dcterms:modified xsi:type="dcterms:W3CDTF">2012-05-28T10:14:33Z</dcterms:modified>
</cp:coreProperties>
</file>