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980" windowHeight="1170" activeTab="0"/>
  </bookViews>
  <sheets>
    <sheet name="свод" sheetId="1" r:id="rId1"/>
    <sheet name="ндфл" sheetId="2" r:id="rId2"/>
    <sheet name="нио" sheetId="3" r:id="rId3"/>
    <sheet name="усн" sheetId="4" r:id="rId4"/>
    <sheet name="енвд" sheetId="5" r:id="rId5"/>
    <sheet name="есхн" sheetId="6" r:id="rId6"/>
    <sheet name="аренда зу" sheetId="7" r:id="rId7"/>
    <sheet name="аренда помещения" sheetId="8" r:id="rId8"/>
    <sheet name="статистика" sheetId="9" r:id="rId9"/>
    <sheet name="Лист2" sheetId="10" r:id="rId10"/>
  </sheets>
  <externalReferences>
    <externalReference r:id="rId13"/>
  </externalReferences>
  <definedNames>
    <definedName name="_xlnm.Print_Area" localSheetId="2">'нио'!$A$1:$C$23</definedName>
  </definedNames>
  <calcPr fullCalcOnLoad="1"/>
</workbook>
</file>

<file path=xl/sharedStrings.xml><?xml version="1.0" encoding="utf-8"?>
<sst xmlns="http://schemas.openxmlformats.org/spreadsheetml/2006/main" count="626" uniqueCount="465">
  <si>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</si>
  <si>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</si>
  <si>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</si>
  <si>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</si>
  <si>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</si>
  <si>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х</t>
  </si>
  <si>
    <t>3. Прогноз поступлений налога на доходы физических лиц  по всем видам доходных источников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</si>
  <si>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</si>
  <si>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</si>
  <si>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</si>
  <si>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</si>
  <si>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</si>
  <si>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 xml:space="preserve">2.2.   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</si>
  <si>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 xml:space="preserve">Сумма перечисленного налога на доходы физических лиц </t>
  </si>
  <si>
    <t xml:space="preserve">2.1.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</si>
  <si>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</si>
  <si>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Фонд оплаты труда для целей налогообложения (общая сумма дохода)</t>
  </si>
  <si>
    <t xml:space="preserve">по консолидированному бюджету </t>
  </si>
  <si>
    <t>по районному бюджету</t>
  </si>
  <si>
    <t>по  бюджетам сельских поселений</t>
  </si>
  <si>
    <t>Расчет поступлений налога на доходы физических лиц в  бюджет муниципального образования "Онгудайский район" на 2016 год</t>
  </si>
  <si>
    <t>Прогноз поступлений  налога на доходы физических лиц на 2016 год, тыс. рублей</t>
  </si>
  <si>
    <t>к проекту решения</t>
  </si>
  <si>
    <t>"О  бюджете муниципального образования</t>
  </si>
  <si>
    <t>Приложение  2</t>
  </si>
  <si>
    <t xml:space="preserve"> "Онгудайский район" на 2016 год"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</si>
  <si>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</si>
  <si>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</si>
  <si>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</si>
  <si>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</si>
  <si>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>Рост стоимости основных фондов для целей налогообложения на конец года по отношению к предыдущему году</t>
  </si>
  <si>
    <t>Налоговая база для исчисления налога на имущество организаций за 2014 год, тыс.руб.</t>
  </si>
  <si>
    <t xml:space="preserve"> 6.1</t>
  </si>
  <si>
    <t>Уровень собираемости налога на имущество организаций, %</t>
  </si>
  <si>
    <t>Дополнительные поступления налога на имущество организаций, тыс. руб.</t>
  </si>
  <si>
    <t>Сумма налога на имущество организаций за 2014год, тыс. руб.</t>
  </si>
  <si>
    <t>сумма налога на имущество организаций  подлежащая уплате в 2015 году  (годовые расчеты за 2014 год), тыс. руб.</t>
  </si>
  <si>
    <t>Налоговая база для исчисления налога на имущество организаций за 2015 год, тыс.руб.</t>
  </si>
  <si>
    <t xml:space="preserve">Сумма налога на имущество организаций подлежащая уплате в 2016 году с учетом уровня собираемости (стр. 7 х стр. 8), тыс. руб.  </t>
  </si>
  <si>
    <t xml:space="preserve">Общая сумма налога на имущество организаций, подлежащая уплате в республиканский бюджет Республики Алтай в 2016 году, тыс. руб. </t>
  </si>
  <si>
    <t>Сумма налога на имущество организаций, подлежащая уплате в районный бюджет муниципального образования "Онгудайский район" в 2016 году, тыс. рублей</t>
  </si>
  <si>
    <t xml:space="preserve">Расчет поступлений налога на имущество организаций в районный бюджет муниципального образования "Онгудайский район" на 2016 год </t>
  </si>
  <si>
    <t>к проекту решения "О бюджете муниципального образования "Онгудайский район" на 2016 год "</t>
  </si>
  <si>
    <t>Прогноз поступлений налога на имущество организаций на 2016 год</t>
  </si>
  <si>
    <t>Сумма налога на имущество организаций за 2016 год, тыс.руб.</t>
  </si>
  <si>
    <t>сумма авансовых платежей по налогу на имущество организаций подлежащих уплате в 2016 году (квартальные расчеты), тыс. руб.</t>
  </si>
  <si>
    <t xml:space="preserve">Сумма налога на имущество организаций подлежащая уплате в 2016году  (стр. 3.1  + стр. 6.1), тыс. руб.  </t>
  </si>
  <si>
    <t>Приложение 1</t>
  </si>
  <si>
    <t>Наименование показателя</t>
  </si>
  <si>
    <t>Код дохода по КД</t>
  </si>
  <si>
    <t>Темп роста, %</t>
  </si>
  <si>
    <t>2015г к 2014г</t>
  </si>
  <si>
    <t>2016г к 2015г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</si>
  <si>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</si>
  <si>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</si>
  <si>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</si>
  <si>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</si>
  <si>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</si>
  <si>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</si>
  <si>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</si>
  <si>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</si>
  <si>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</si>
  <si>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</si>
  <si>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</si>
  <si>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</si>
  <si>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</si>
  <si>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</si>
  <si>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</si>
  <si>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</si>
  <si>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</si>
  <si>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</si>
  <si>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</si>
  <si>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</si>
  <si>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</si>
  <si>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</si>
  <si>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</si>
  <si>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</si>
  <si>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</si>
  <si>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</si>
  <si>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</si>
  <si>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</si>
  <si>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</si>
  <si>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</si>
  <si>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</si>
  <si>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</si>
  <si>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</si>
  <si>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</si>
  <si>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</si>
  <si>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</si>
  <si>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</si>
  <si>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</si>
  <si>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</si>
  <si>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</si>
  <si>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</si>
  <si>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</si>
  <si>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</si>
  <si>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</si>
  <si>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</si>
  <si>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</si>
  <si>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</si>
  <si>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</si>
  <si>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</si>
  <si>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</si>
  <si>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</si>
  <si>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</si>
  <si>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</si>
  <si>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</si>
  <si>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</si>
  <si>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</si>
  <si>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</si>
  <si>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</si>
  <si>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</si>
  <si>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</si>
  <si>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</si>
  <si>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</si>
  <si>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</si>
  <si>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</si>
  <si>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</si>
  <si>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</si>
  <si>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</si>
  <si>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</si>
  <si>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</si>
  <si>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</si>
  <si>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</si>
  <si>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</si>
  <si>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</si>
  <si>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</si>
  <si>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</si>
  <si>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</si>
  <si>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</si>
  <si>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</si>
  <si>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</si>
  <si>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</si>
  <si>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</si>
  <si>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</si>
  <si>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</si>
  <si>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</si>
  <si>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</si>
  <si>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</si>
  <si>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</si>
  <si>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</si>
  <si>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</si>
  <si>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</si>
  <si>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</si>
  <si>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</si>
  <si>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</si>
  <si>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</si>
  <si>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</si>
  <si>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</si>
  <si>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</si>
  <si>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</si>
  <si>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</si>
  <si>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</si>
  <si>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</si>
  <si>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</si>
  <si>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</si>
  <si>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</si>
  <si>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</si>
  <si>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</si>
  <si>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</si>
  <si>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</si>
  <si>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</si>
  <si>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</si>
  <si>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</si>
  <si>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</si>
  <si>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</si>
  <si>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</si>
  <si>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</si>
  <si>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</si>
  <si>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</si>
  <si>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</si>
  <si>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</si>
  <si>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</si>
  <si>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</si>
  <si>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</si>
  <si>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</si>
  <si>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</si>
  <si>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</si>
  <si>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</si>
  <si>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</si>
  <si>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модернизацию региональных систем дошкольного  образования</t>
  </si>
  <si>
    <t>092  2  02  02204 05  0000  151</t>
  </si>
  <si>
    <t>Прочие субсидии бюджетам муниципальных районов</t>
  </si>
  <si>
    <t>092  2  02  02999  05  0000  151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</si>
  <si>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</si>
  <si>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</si>
  <si>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</si>
  <si>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</si>
  <si>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</si>
  <si>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</si>
  <si>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</si>
  <si>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</si>
  <si>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</si>
  <si>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</si>
  <si>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</si>
  <si>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</si>
  <si>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</si>
  <si>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092  2  02  03070  05  0000  151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</si>
  <si>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</si>
  <si>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</si>
  <si>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</si>
  <si>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</si>
  <si>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</si>
  <si>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</si>
  <si>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</si>
  <si>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</si>
  <si>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</si>
  <si>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</si>
  <si>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</si>
  <si>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</si>
  <si>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__________________________________________________</t>
  </si>
  <si>
    <t>к проекту решения "О бюджете муниципального образования "Онгудайский район" на  2016 год"</t>
  </si>
  <si>
    <t>092  1  11  05025  05  0000  120</t>
  </si>
  <si>
    <t>Фактическое на 2014год, тыс.руб</t>
  </si>
  <si>
    <t>Планируемое на 2016год, тыс.руб</t>
  </si>
  <si>
    <t>000  1  16  25050  01  0000  140</t>
  </si>
  <si>
    <t>092  2  02  02150  05  0000  151</t>
  </si>
  <si>
    <t>000  2  02  04089 05  0000  151</t>
  </si>
  <si>
    <t xml:space="preserve"> 2015год</t>
  </si>
  <si>
    <t>% исполнения плана</t>
  </si>
  <si>
    <t>Ожидаемое поступление , тыс.руб.</t>
  </si>
  <si>
    <t>Утвержденный план , тыс.руб.</t>
  </si>
  <si>
    <t>000  1  01  02000  00  0000  000</t>
  </si>
  <si>
    <t>000  1  01  03000  01  0000  110</t>
  </si>
  <si>
    <t>НАЛОГИ НА ТОВАРЫ (РАБОТЫ, УСЛУГИ), РЕАЛИЗУЕМЫЕ НА ТЕРРИТОЛРИИ РОССИЙСКОЙ ФЕДЕРАЦИИ</t>
  </si>
  <si>
    <t>188  1  16  08020  01  0000  140</t>
  </si>
  <si>
    <t>000  1  16  30030  01  0000  140</t>
  </si>
  <si>
    <t>092  2  02  01009  05  0000  151</t>
  </si>
  <si>
    <t>092  2  02  02215 05  0000  151</t>
  </si>
  <si>
    <t>к пояснительной записке</t>
  </si>
  <si>
    <t>№№ п/п</t>
  </si>
  <si>
    <t xml:space="preserve">Наименование показателей </t>
  </si>
  <si>
    <t>2013 год</t>
  </si>
  <si>
    <t>2016 год</t>
  </si>
  <si>
    <t>Сумма доходов (тыс.руб.)</t>
  </si>
  <si>
    <t>Сумма расходов (тыс.руб.)</t>
  </si>
  <si>
    <t>Налоговая база , тыс.руб.</t>
  </si>
  <si>
    <t>Ставка налога, %</t>
  </si>
  <si>
    <t>Сумма исчисленного налога</t>
  </si>
  <si>
    <t>Поступление налога за 3 квартала планируемого года</t>
  </si>
  <si>
    <t>Начисление налога</t>
  </si>
  <si>
    <t>Норматив отчисления в бюджет района</t>
  </si>
  <si>
    <t>Сумма налога, тыс.руб.</t>
  </si>
  <si>
    <t>2011год</t>
  </si>
  <si>
    <t>ожидаемое поступление за 2012 год</t>
  </si>
  <si>
    <t>Налоговая ставка</t>
  </si>
  <si>
    <t>Сумма исчисленного налога  ЕНВД, тыс.руб</t>
  </si>
  <si>
    <t>Сумма поступления за 1 кв.предыдушего года, тыс.руб.</t>
  </si>
  <si>
    <t>Поступление налога за 3 квартала планируемого года, тыс.руб.</t>
  </si>
  <si>
    <t>Начисление налога, тыс.руб.</t>
  </si>
  <si>
    <t>Норматив отчисления в бюджет района,%</t>
  </si>
  <si>
    <t>№</t>
  </si>
  <si>
    <t xml:space="preserve">2011 г </t>
  </si>
  <si>
    <t>ожидаемое  поступление на  2012 год</t>
  </si>
  <si>
    <t>п.п.</t>
  </si>
  <si>
    <t>Налоговая база, тыс.руб.</t>
  </si>
  <si>
    <t>доходы</t>
  </si>
  <si>
    <t>доходы, уменьшенные на величину расходов</t>
  </si>
  <si>
    <t>Налоговая ставка (%.)</t>
  </si>
  <si>
    <t>минимальный налог</t>
  </si>
  <si>
    <t>Сумма исчисленного  налога за налоговый период, тыс.руб.</t>
  </si>
  <si>
    <t>налога с доходов</t>
  </si>
  <si>
    <t>налога с доходов, уменьшенных на величину расходов</t>
  </si>
  <si>
    <t xml:space="preserve">Поступление налога </t>
  </si>
  <si>
    <t>Норматив отчисления в бюджет муниципального района</t>
  </si>
  <si>
    <t>Сумма налога, тыс.руб</t>
  </si>
  <si>
    <t>№ п\п</t>
  </si>
  <si>
    <t>Арендатор</t>
  </si>
  <si>
    <t>Юридический адрес арендуемого помещения</t>
  </si>
  <si>
    <t>Сумма арендной платы за 1 месяц, руб.</t>
  </si>
  <si>
    <t>Сумма арендной платы за 1 год, руб.</t>
  </si>
  <si>
    <t>Срок аренды</t>
  </si>
  <si>
    <t>Поступления на 01.10.10</t>
  </si>
  <si>
    <t>Задолж.</t>
  </si>
  <si>
    <t>Анатова М.А</t>
  </si>
  <si>
    <t>с. Онгудай, ул.Ленина 10</t>
  </si>
  <si>
    <t>БУ РА «Управление социальной поддержки населения Онгудайского района»</t>
  </si>
  <si>
    <t>с. Онгудай Советская 78,гараж</t>
  </si>
  <si>
    <t>ОАО " Россельхозбанк"</t>
  </si>
  <si>
    <t>с. Онгудай Советская 78, гараж</t>
  </si>
  <si>
    <t>Природный парк "Уч Энмек"</t>
  </si>
  <si>
    <t>с. Онгудай Советская 78</t>
  </si>
  <si>
    <t>Суркашева А.М</t>
  </si>
  <si>
    <t>Территориальный орган Федеральной службы государственной статистики по Республике Алтай</t>
  </si>
  <si>
    <t>Приложение 7</t>
  </si>
  <si>
    <t xml:space="preserve">Наименование </t>
  </si>
  <si>
    <t>Иня</t>
  </si>
  <si>
    <t>Купчегень</t>
  </si>
  <si>
    <t>Хабаровка</t>
  </si>
  <si>
    <t>Онгудай</t>
  </si>
  <si>
    <t>Шашикман</t>
  </si>
  <si>
    <t>Н-талда</t>
  </si>
  <si>
    <t>Каракол</t>
  </si>
  <si>
    <t>Кулада</t>
  </si>
  <si>
    <t>Теньга</t>
  </si>
  <si>
    <t>Ело</t>
  </si>
  <si>
    <t>2011 год</t>
  </si>
  <si>
    <t>2012 год</t>
  </si>
  <si>
    <t>Суммы по действующим договорам, тыс.руб.:</t>
  </si>
  <si>
    <t>земли под ИЖС</t>
  </si>
  <si>
    <t>земли    сельхозназначения</t>
  </si>
  <si>
    <t>земли несельхозназначения</t>
  </si>
  <si>
    <t>земли для рекреационной деятельности</t>
  </si>
  <si>
    <t>ИТОГО</t>
  </si>
  <si>
    <t>Суммы по планируемым договорам, тыс.руб.:</t>
  </si>
  <si>
    <t>ВСЕГО планиуремое поступление</t>
  </si>
  <si>
    <t>Поступление в бюджет района</t>
  </si>
  <si>
    <t>к проекту решения "О бюджете муниципального образования "Онгудайский район" на 2016 год."</t>
  </si>
  <si>
    <t>Расчет поступлений налога,взимаемый в связи с применением упрощенной системы налогообложения в бюджет муниципального образования "Онгудайский район" на 2016 год.</t>
  </si>
  <si>
    <t>Приложение  3</t>
  </si>
  <si>
    <t>Приложение 4</t>
  </si>
  <si>
    <t>к проекту решения "О бюджете муниципального образования "Онгудайский район" на 2016 год ."</t>
  </si>
  <si>
    <t>Расчет поступлений единого налога на вмененный доход в бюджет муниципального образования "Онгудайский район" на 2016 год .</t>
  </si>
  <si>
    <t>Приложение 5</t>
  </si>
  <si>
    <t>Приложение6</t>
  </si>
  <si>
    <t>Расчет поступлений единого сельскохозяйственного налога  в бюджет муниципального образования "Онгудайский район" на 2016 год .</t>
  </si>
  <si>
    <t xml:space="preserve">к Пояснительной записке к проекту  решения "О бюджете муниципального образования "Онгудайский район" на 2016 год ." </t>
  </si>
  <si>
    <t>Расчет поступлений в доход муниципального образования "Онгудайский район"  за аренду земльных участков на 2016 год.</t>
  </si>
  <si>
    <t xml:space="preserve">к пояснительной записке к проекту  решения "О бюджете муниципального образования "Онгудайский район" на 2016год ." </t>
  </si>
  <si>
    <t>Расчет поступления за аренду  муниципального помещения муниципального образования "Онгудайский район" на 2016год.</t>
  </si>
  <si>
    <t>Лепетова С.В.</t>
  </si>
  <si>
    <t>с. Онгудай Советская 78 (киоск)</t>
  </si>
  <si>
    <t>К1 за 2015год</t>
  </si>
  <si>
    <t>К2 за 2015год среднее значение</t>
  </si>
  <si>
    <t>Поступление за 1 квартал отчетного года</t>
  </si>
  <si>
    <t>Дополнительные  поступления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</si>
  <si>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</si>
  <si>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</si>
  <si>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</si>
  <si>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</si>
  <si>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</si>
  <si>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</si>
  <si>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</si>
  <si>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</si>
  <si>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</si>
  <si>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</si>
  <si>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</si>
  <si>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</si>
  <si>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</si>
  <si>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Субвенции бюджетам субъектов Российской Федерации на проведение Всероссийской сельскохозяйственной переписи в 2016 году</t>
  </si>
  <si>
    <t>092 2 02 03121 05 0000 151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</si>
  <si>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</si>
  <si>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092 2 02 03007 05 0000 151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</si>
  <si>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</si>
  <si>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</si>
  <si>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</si>
  <si>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</si>
  <si>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</si>
  <si>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</si>
  <si>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</si>
  <si>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</si>
  <si>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</si>
  <si>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Прочие денежные взыскания (штрафы) за правонарушения в области дорожного движения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</si>
  <si>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</si>
  <si>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</si>
  <si>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 xml:space="preserve"> ПОСТУПЛЕНИЯ ДОХОДОВ В РАЙОННЫЙ БЮДЖЕТ МУНИЦИПАЛЬНОГО ОБРАЗОВАНИЯ "ОНГУДАЙСКИЙ РАЙОН"  ЗА 2014-2016 ГОДЫ                    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</si>
  <si>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</si>
  <si>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Алтай).Государственная поддержка лучших работников муниципальных учреждений культуры в сельских поселениях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</si>
  <si>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Алтай)Государственная поддержка   муниципальных учреждений культуры  в сельских поселениях</t>
  </si>
  <si>
    <t>Субсидии на софинансирование мероприятий, направленных на повышение оплаты труда педагогических работников муниципальных образовательных организаций дополнительного образования детей в Республике Алтай (через Министерство образования, науки и молодежной политики Республики Алтай)</t>
  </si>
  <si>
    <t>Воостановление и сохранение  мемориальных комплексов  воинам Великой Отечественной Войны  к 70-летию Победы ВОВ</t>
  </si>
  <si>
    <t>Реализация мероприятий региональной 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Алтай), на повышение оплаты труда работников муниципальных учреждений культуры</t>
  </si>
  <si>
    <t>Субсидии на оснащение и модернизация детских школ искусств (через Министерство культуры Республик Алтай)</t>
  </si>
  <si>
    <t>Субсидии на обеспечение сельских учреждений культуры специализированным автотранспортом (через Министерство культуры Республики Алтай)</t>
  </si>
  <si>
    <t>Субсидии на государственную поддержку  учреждений культуры  (через Министерство культуры Республики Алтай)</t>
  </si>
  <si>
    <t>Субсидии на государственную поддержку  на укрепление материально-технической базы и оснащение оборудованием детских музыкальных школ и школ искусств  (через Министерство культуры Республики Алтай)</t>
  </si>
  <si>
    <t>Приложение8</t>
  </si>
  <si>
    <t>Занятость и заработная плата</t>
  </si>
  <si>
    <t>Ед. измерения</t>
  </si>
  <si>
    <t>Фонд заработной платы всех работников организаций</t>
  </si>
  <si>
    <t>Всего</t>
  </si>
  <si>
    <t>январь-март</t>
  </si>
  <si>
    <t>тысяча рублей</t>
  </si>
  <si>
    <t>январь-июнь</t>
  </si>
  <si>
    <t>январь-сентябрь</t>
  </si>
  <si>
    <t>январь-декабрь</t>
  </si>
  <si>
    <t>Раздел А Сельское хозяйство, охота и лесное хозяйство</t>
  </si>
  <si>
    <t>6405.1</t>
  </si>
  <si>
    <t>7231.5</t>
  </si>
  <si>
    <t>14335.2</t>
  </si>
  <si>
    <t>15449.6</t>
  </si>
  <si>
    <t>22646.9</t>
  </si>
  <si>
    <t>34404.7</t>
  </si>
  <si>
    <t>Раздел D Обрабатывающие производства</t>
  </si>
  <si>
    <t>1070.2</t>
  </si>
  <si>
    <t>940.7</t>
  </si>
  <si>
    <t>2267.8</t>
  </si>
  <si>
    <t>3491.7</t>
  </si>
  <si>
    <t>4990.4</t>
  </si>
  <si>
    <t>Раздел Е Производство и распределение электроэнергии, газа и воды</t>
  </si>
  <si>
    <t>6028.8</t>
  </si>
  <si>
    <t>6334.9</t>
  </si>
  <si>
    <t>10794.1</t>
  </si>
  <si>
    <t>11525.4</t>
  </si>
  <si>
    <t>15375.4</t>
  </si>
  <si>
    <t>21629.1</t>
  </si>
  <si>
    <t>Раздел F Строительство</t>
  </si>
  <si>
    <t>36.6</t>
  </si>
  <si>
    <t>642.2</t>
  </si>
  <si>
    <t>768.5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</si>
  <si>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</si>
  <si>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1754.6</t>
  </si>
  <si>
    <t>1720.2</t>
  </si>
  <si>
    <t>3651.1</t>
  </si>
  <si>
    <t>7328.7</t>
  </si>
  <si>
    <t>Раздел Н Гостиницы и рестораны</t>
  </si>
  <si>
    <t>709.9</t>
  </si>
  <si>
    <t>1445.9</t>
  </si>
  <si>
    <t>2344.6</t>
  </si>
  <si>
    <t>3092.6</t>
  </si>
  <si>
    <t>Раздел I Транспорт и связь</t>
  </si>
  <si>
    <t>13088.3</t>
  </si>
  <si>
    <t>14470.1</t>
  </si>
  <si>
    <t>27318.2</t>
  </si>
  <si>
    <t>28817.8</t>
  </si>
  <si>
    <t>40366.4</t>
  </si>
  <si>
    <t>54209.6</t>
  </si>
  <si>
    <t>Раздел J Финансовая деятельность</t>
  </si>
  <si>
    <t>1100.9</t>
  </si>
  <si>
    <t>2493.2</t>
  </si>
  <si>
    <t>3687.7</t>
  </si>
  <si>
    <t>Раздел K Операции с недвижимым имуществом, аренда и предоставление услуг</t>
  </si>
  <si>
    <t>1850.9</t>
  </si>
  <si>
    <t>3771.5</t>
  </si>
  <si>
    <t>11667.8</t>
  </si>
  <si>
    <t>7636.6</t>
  </si>
  <si>
    <t>Раздел L Государственное управление и обеспечение военной безопасности; социальное страхование</t>
  </si>
  <si>
    <t>44067.3</t>
  </si>
  <si>
    <t>38837.1</t>
  </si>
  <si>
    <t>91322.9</t>
  </si>
  <si>
    <t>81968.3</t>
  </si>
  <si>
    <t>135746.5</t>
  </si>
  <si>
    <t>187488.4</t>
  </si>
  <si>
    <t>Раздел M Образование</t>
  </si>
  <si>
    <t>37005.2</t>
  </si>
  <si>
    <t>37835.8</t>
  </si>
  <si>
    <t>80386.3</t>
  </si>
  <si>
    <t>86367.2</t>
  </si>
  <si>
    <t>108357.3</t>
  </si>
  <si>
    <t>Раздел N Здравоохранение и предоставление социальных услуг</t>
  </si>
  <si>
    <t>25942.5</t>
  </si>
  <si>
    <t>28148.9</t>
  </si>
  <si>
    <t>56638.6</t>
  </si>
  <si>
    <t>58282.3</t>
  </si>
  <si>
    <t>86339.6</t>
  </si>
  <si>
    <t>118783.4</t>
  </si>
  <si>
    <t>Раздел O Предоставление прочих коммунальных, социальных и персональных услуг</t>
  </si>
  <si>
    <t>5671.9</t>
  </si>
  <si>
    <t>6161.7</t>
  </si>
  <si>
    <t>10715.1</t>
  </si>
  <si>
    <t>12653.4</t>
  </si>
  <si>
    <t>15960.7</t>
  </si>
  <si>
    <t>23401.9</t>
  </si>
  <si>
    <t>БД ПМО Республики Алтай</t>
  </si>
  <si>
    <t>ПОКАЗАТЕЛИ,</t>
  </si>
  <si>
    <t>ХАРАКТЕРИЗУЮЩИЕ СОСТОЯНИЕ ЭКОНОМИКИ И</t>
  </si>
  <si>
    <t>СОЦИАЛЬНОЙ СФЕРЫ МУНИЦИПАЛЬНОГО ОБРАЗОВАНИЯ</t>
  </si>
  <si>
    <t>Онгудайский муниципальный район</t>
  </si>
  <si>
    <t>Муниципальный район</t>
  </si>
  <si>
    <t>за 2014, 2015 годы</t>
  </si>
  <si>
    <t>средне зачение за полугодие</t>
  </si>
  <si>
    <t>среднее значение за месяц</t>
  </si>
  <si>
    <t>среднее зачение за 2015 год</t>
  </si>
  <si>
    <t>среднее значение</t>
  </si>
  <si>
    <t>Налог на доходы с физических лиц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</si>
</sst>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.0"/>
    <numFmt numFmtId="183" formatCode="#,##0.000"/>
    <numFmt numFmtId="184" formatCode="#,##0.0000"/>
    <numFmt numFmtId="185" formatCode="#,##0.0_р_."/>
    <numFmt numFmtId="186" formatCode="_т_ы_с_._р_.#,##0,"/>
    <numFmt numFmtId="187" formatCode="0.000"/>
    <numFmt numFmtId="188" formatCode="#,##0.000_р_."/>
    <numFmt numFmtId="189" formatCode="#,##0_р_."/>
    <numFmt numFmtId="190" formatCode="_-* #,##0.0_р_._-;\-* #,##0.0_р_._-;_-* &quot;-&quot;??_р_._-;_-@_-"/>
    <numFmt numFmtId="191" formatCode="#,##0.00000"/>
    <numFmt numFmtId="192" formatCode="_-* #,##0.00000_р_._-;\-* #,##0.00000_р_._-;_-* &quot;-&quot;???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_р_._-;\-* #,##0_р_._-;_-* &quot;-&quot;??_р_._-;_-@_-"/>
    <numFmt numFmtId="197" formatCode="#,##0_ ;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sz val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185" fontId="2" fillId="0" borderId="26" xfId="0" applyNumberFormat="1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6" fontId="2" fillId="0" borderId="2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justify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7" fontId="2" fillId="0" borderId="0" xfId="0" applyNumberFormat="1" applyFont="1" applyAlignment="1">
      <alignment/>
    </xf>
    <xf numFmtId="0" fontId="2" fillId="0" borderId="15" xfId="0" applyFont="1" applyBorder="1" applyAlignment="1">
      <alignment horizontal="justify" vertical="center" wrapText="1"/>
    </xf>
    <xf numFmtId="189" fontId="2" fillId="0" borderId="14" xfId="0" applyNumberFormat="1" applyFont="1" applyBorder="1" applyAlignment="1">
      <alignment horizontal="center" vertical="center" wrapText="1"/>
    </xf>
    <xf numFmtId="185" fontId="2" fillId="0" borderId="14" xfId="56" applyNumberFormat="1" applyFont="1" applyBorder="1" applyAlignment="1">
      <alignment horizontal="center" vertical="center"/>
    </xf>
    <xf numFmtId="189" fontId="2" fillId="0" borderId="14" xfId="56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89" fontId="2" fillId="0" borderId="14" xfId="56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85" fontId="1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49" fontId="66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7" fillId="33" borderId="13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6" fillId="33" borderId="13" xfId="0" applyFont="1" applyFill="1" applyBorder="1" applyAlignment="1">
      <alignment vertical="center" wrapText="1"/>
    </xf>
    <xf numFmtId="49" fontId="66" fillId="33" borderId="13" xfId="0" applyNumberFormat="1" applyFont="1" applyFill="1" applyBorder="1" applyAlignment="1">
      <alignment horizontal="left"/>
    </xf>
    <xf numFmtId="43" fontId="66" fillId="33" borderId="13" xfId="61" applyFont="1" applyFill="1" applyBorder="1" applyAlignment="1">
      <alignment horizontal="center"/>
    </xf>
    <xf numFmtId="190" fontId="66" fillId="33" borderId="13" xfId="0" applyNumberFormat="1" applyFont="1" applyFill="1" applyBorder="1" applyAlignment="1">
      <alignment/>
    </xf>
    <xf numFmtId="190" fontId="66" fillId="0" borderId="13" xfId="0" applyNumberFormat="1" applyFont="1" applyBorder="1" applyAlignment="1">
      <alignment/>
    </xf>
    <xf numFmtId="43" fontId="66" fillId="0" borderId="0" xfId="0" applyNumberFormat="1" applyFont="1" applyAlignment="1">
      <alignment/>
    </xf>
    <xf numFmtId="0" fontId="66" fillId="33" borderId="13" xfId="0" applyFont="1" applyFill="1" applyBorder="1" applyAlignment="1">
      <alignment horizontal="right" vertical="center" wrapText="1"/>
    </xf>
    <xf numFmtId="0" fontId="68" fillId="33" borderId="13" xfId="0" applyFont="1" applyFill="1" applyBorder="1" applyAlignment="1">
      <alignment vertical="center" wrapText="1"/>
    </xf>
    <xf numFmtId="49" fontId="68" fillId="33" borderId="13" xfId="0" applyNumberFormat="1" applyFont="1" applyFill="1" applyBorder="1" applyAlignment="1">
      <alignment horizontal="left"/>
    </xf>
    <xf numFmtId="43" fontId="68" fillId="33" borderId="13" xfId="61" applyFont="1" applyFill="1" applyBorder="1" applyAlignment="1">
      <alignment horizontal="center" vertical="top" wrapText="1"/>
    </xf>
    <xf numFmtId="0" fontId="68" fillId="0" borderId="0" xfId="0" applyFont="1" applyAlignment="1">
      <alignment/>
    </xf>
    <xf numFmtId="49" fontId="66" fillId="33" borderId="13" xfId="0" applyNumberFormat="1" applyFont="1" applyFill="1" applyBorder="1" applyAlignment="1">
      <alignment/>
    </xf>
    <xf numFmtId="4" fontId="66" fillId="33" borderId="13" xfId="0" applyNumberFormat="1" applyFont="1" applyFill="1" applyBorder="1" applyAlignment="1">
      <alignment/>
    </xf>
    <xf numFmtId="191" fontId="66" fillId="0" borderId="0" xfId="0" applyNumberFormat="1" applyFont="1" applyAlignment="1">
      <alignment/>
    </xf>
    <xf numFmtId="0" fontId="69" fillId="0" borderId="0" xfId="0" applyFont="1" applyAlignment="1">
      <alignment/>
    </xf>
    <xf numFmtId="191" fontId="69" fillId="0" borderId="0" xfId="0" applyNumberFormat="1" applyFont="1" applyAlignment="1">
      <alignment/>
    </xf>
    <xf numFmtId="192" fontId="69" fillId="0" borderId="0" xfId="0" applyNumberFormat="1" applyFont="1" applyAlignment="1">
      <alignment/>
    </xf>
    <xf numFmtId="43" fontId="69" fillId="0" borderId="0" xfId="0" applyNumberFormat="1" applyFont="1" applyAlignment="1">
      <alignment/>
    </xf>
    <xf numFmtId="43" fontId="13" fillId="0" borderId="0" xfId="0" applyNumberFormat="1" applyFont="1" applyAlignment="1">
      <alignment vertical="top" wrapText="1"/>
    </xf>
    <xf numFmtId="195" fontId="13" fillId="0" borderId="0" xfId="0" applyNumberFormat="1" applyFont="1" applyAlignment="1">
      <alignment vertical="top" wrapText="1"/>
    </xf>
    <xf numFmtId="0" fontId="67" fillId="33" borderId="1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top"/>
    </xf>
    <xf numFmtId="0" fontId="70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5" fillId="0" borderId="0" xfId="0" applyFont="1" applyFill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11" fillId="0" borderId="27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196" fontId="0" fillId="0" borderId="13" xfId="61" applyNumberFormat="1" applyFont="1" applyBorder="1" applyAlignment="1">
      <alignment/>
    </xf>
    <xf numFmtId="9" fontId="0" fillId="0" borderId="13" xfId="0" applyNumberFormat="1" applyBorder="1" applyAlignment="1">
      <alignment/>
    </xf>
    <xf numFmtId="196" fontId="0" fillId="0" borderId="13" xfId="0" applyNumberFormat="1" applyBorder="1" applyAlignment="1">
      <alignment/>
    </xf>
    <xf numFmtId="43" fontId="0" fillId="0" borderId="13" xfId="61" applyFont="1" applyBorder="1" applyAlignment="1">
      <alignment/>
    </xf>
    <xf numFmtId="9" fontId="0" fillId="0" borderId="13" xfId="0" applyNumberFormat="1" applyBorder="1" applyAlignment="1">
      <alignment/>
    </xf>
    <xf numFmtId="0" fontId="18" fillId="0" borderId="0" xfId="0" applyFont="1" applyAlignment="1">
      <alignment vertical="top" wrapText="1"/>
    </xf>
    <xf numFmtId="3" fontId="11" fillId="0" borderId="27" xfId="0" applyNumberFormat="1" applyFont="1" applyBorder="1" applyAlignment="1">
      <alignment horizontal="right" wrapText="1"/>
    </xf>
    <xf numFmtId="3" fontId="11" fillId="0" borderId="28" xfId="0" applyNumberFormat="1" applyFont="1" applyBorder="1" applyAlignment="1">
      <alignment horizontal="right" wrapText="1"/>
    </xf>
    <xf numFmtId="9" fontId="0" fillId="0" borderId="13" xfId="61" applyNumberFormat="1" applyFon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 indent="2"/>
    </xf>
    <xf numFmtId="3" fontId="11" fillId="0" borderId="13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7" fillId="33" borderId="13" xfId="0" applyFont="1" applyFill="1" applyBorder="1" applyAlignment="1">
      <alignment horizontal="center"/>
    </xf>
    <xf numFmtId="0" fontId="17" fillId="33" borderId="13" xfId="0" applyFont="1" applyFill="1" applyBorder="1" applyAlignment="1">
      <alignment vertical="top" wrapText="1"/>
    </xf>
    <xf numFmtId="43" fontId="17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43" fontId="0" fillId="0" borderId="0" xfId="0" applyNumberFormat="1" applyAlignment="1">
      <alignment vertical="top" wrapText="1"/>
    </xf>
    <xf numFmtId="0" fontId="19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43" fontId="15" fillId="0" borderId="13" xfId="61" applyFont="1" applyBorder="1" applyAlignment="1">
      <alignment horizontal="right" wrapText="1"/>
    </xf>
    <xf numFmtId="14" fontId="15" fillId="0" borderId="13" xfId="0" applyNumberFormat="1" applyFont="1" applyBorder="1" applyAlignment="1">
      <alignment horizontal="right" wrapText="1"/>
    </xf>
    <xf numFmtId="43" fontId="0" fillId="0" borderId="0" xfId="0" applyNumberFormat="1" applyAlignment="1">
      <alignment/>
    </xf>
    <xf numFmtId="43" fontId="15" fillId="0" borderId="13" xfId="61" applyFont="1" applyBorder="1" applyAlignment="1">
      <alignment wrapText="1"/>
    </xf>
    <xf numFmtId="14" fontId="15" fillId="0" borderId="13" xfId="0" applyNumberFormat="1" applyFont="1" applyBorder="1" applyAlignment="1">
      <alignment wrapText="1"/>
    </xf>
    <xf numFmtId="0" fontId="17" fillId="0" borderId="13" xfId="0" applyFont="1" applyBorder="1" applyAlignment="1">
      <alignment/>
    </xf>
    <xf numFmtId="43" fontId="17" fillId="0" borderId="13" xfId="61" applyFont="1" applyBorder="1" applyAlignment="1">
      <alignment/>
    </xf>
    <xf numFmtId="43" fontId="17" fillId="33" borderId="13" xfId="61" applyFont="1" applyFill="1" applyBorder="1" applyAlignment="1">
      <alignment/>
    </xf>
    <xf numFmtId="0" fontId="17" fillId="0" borderId="0" xfId="0" applyFont="1" applyAlignment="1">
      <alignment/>
    </xf>
    <xf numFmtId="43" fontId="17" fillId="0" borderId="0" xfId="0" applyNumberFormat="1" applyFont="1" applyAlignment="1">
      <alignment/>
    </xf>
    <xf numFmtId="43" fontId="0" fillId="0" borderId="0" xfId="61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13" xfId="0" applyFont="1" applyBorder="1" applyAlignment="1">
      <alignment wrapText="1"/>
    </xf>
    <xf numFmtId="0" fontId="23" fillId="0" borderId="13" xfId="0" applyFont="1" applyBorder="1" applyAlignment="1">
      <alignment/>
    </xf>
    <xf numFmtId="43" fontId="21" fillId="0" borderId="13" xfId="61" applyFont="1" applyBorder="1" applyAlignment="1">
      <alignment/>
    </xf>
    <xf numFmtId="43" fontId="0" fillId="0" borderId="15" xfId="61" applyFont="1" applyBorder="1" applyAlignment="1">
      <alignment/>
    </xf>
    <xf numFmtId="43" fontId="0" fillId="0" borderId="13" xfId="61" applyFont="1" applyFill="1" applyBorder="1" applyAlignment="1">
      <alignment horizontal="center"/>
    </xf>
    <xf numFmtId="43" fontId="0" fillId="0" borderId="13" xfId="6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3" fontId="23" fillId="0" borderId="13" xfId="61" applyFont="1" applyBorder="1" applyAlignment="1">
      <alignment/>
    </xf>
    <xf numFmtId="43" fontId="17" fillId="0" borderId="15" xfId="61" applyFont="1" applyBorder="1" applyAlignment="1">
      <alignment/>
    </xf>
    <xf numFmtId="43" fontId="17" fillId="0" borderId="13" xfId="0" applyNumberFormat="1" applyFont="1" applyBorder="1" applyAlignment="1">
      <alignment horizontal="center"/>
    </xf>
    <xf numFmtId="43" fontId="17" fillId="0" borderId="13" xfId="0" applyNumberFormat="1" applyFont="1" applyBorder="1" applyAlignment="1">
      <alignment/>
    </xf>
    <xf numFmtId="43" fontId="21" fillId="0" borderId="0" xfId="61" applyFont="1" applyAlignment="1">
      <alignment/>
    </xf>
    <xf numFmtId="0" fontId="7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/>
    </xf>
    <xf numFmtId="43" fontId="0" fillId="34" borderId="13" xfId="61" applyFont="1" applyFill="1" applyBorder="1" applyAlignment="1">
      <alignment horizontal="center"/>
    </xf>
    <xf numFmtId="43" fontId="0" fillId="33" borderId="13" xfId="61" applyFont="1" applyFill="1" applyBorder="1" applyAlignment="1">
      <alignment horizontal="center"/>
    </xf>
    <xf numFmtId="197" fontId="0" fillId="0" borderId="13" xfId="61" applyNumberFormat="1" applyFont="1" applyBorder="1" applyAlignment="1">
      <alignment/>
    </xf>
    <xf numFmtId="43" fontId="66" fillId="33" borderId="13" xfId="6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left" vertical="center" wrapText="1" indent="1"/>
    </xf>
    <xf numFmtId="0" fontId="25" fillId="35" borderId="3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center" vertical="center"/>
    </xf>
    <xf numFmtId="0" fontId="25" fillId="35" borderId="32" xfId="0" applyFont="1" applyFill="1" applyBorder="1" applyAlignment="1">
      <alignment horizontal="left" vertical="center" wrapText="1" indent="1"/>
    </xf>
    <xf numFmtId="0" fontId="25" fillId="35" borderId="3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left" vertical="center" wrapText="1" inden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left" vertical="center" wrapText="1" indent="2"/>
    </xf>
    <xf numFmtId="0" fontId="25" fillId="35" borderId="0" xfId="0" applyFont="1" applyFill="1" applyBorder="1" applyAlignment="1">
      <alignment horizontal="left" vertical="center" wrapText="1" indent="2"/>
    </xf>
    <xf numFmtId="0" fontId="25" fillId="35" borderId="0" xfId="0" applyFont="1" applyFill="1" applyBorder="1" applyAlignment="1">
      <alignment horizontal="center" vertical="center" wrapText="1"/>
    </xf>
    <xf numFmtId="179" fontId="25" fillId="35" borderId="13" xfId="59" applyFont="1" applyFill="1" applyBorder="1" applyAlignment="1">
      <alignment horizontal="center" vertical="center" wrapText="1"/>
    </xf>
    <xf numFmtId="179" fontId="24" fillId="35" borderId="13" xfId="59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49" fontId="67" fillId="33" borderId="33" xfId="0" applyNumberFormat="1" applyFont="1" applyFill="1" applyBorder="1" applyAlignment="1">
      <alignment horizontal="center" vertical="center" wrapText="1"/>
    </xf>
    <xf numFmtId="49" fontId="67" fillId="33" borderId="34" xfId="0" applyNumberFormat="1" applyFont="1" applyFill="1" applyBorder="1" applyAlignment="1">
      <alignment horizontal="center" vertical="center" wrapText="1"/>
    </xf>
    <xf numFmtId="49" fontId="67" fillId="33" borderId="24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0" borderId="35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5" fontId="2" fillId="0" borderId="26" xfId="0" applyNumberFormat="1" applyFont="1" applyBorder="1" applyAlignment="1">
      <alignment horizontal="center" vertical="center" wrapText="1"/>
    </xf>
    <xf numFmtId="185" fontId="2" fillId="0" borderId="2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5" fontId="2" fillId="0" borderId="26" xfId="56" applyNumberFormat="1" applyFont="1" applyBorder="1" applyAlignment="1">
      <alignment horizontal="center" vertical="center"/>
    </xf>
    <xf numFmtId="185" fontId="2" fillId="0" borderId="25" xfId="56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 indent="2"/>
    </xf>
    <xf numFmtId="0" fontId="16" fillId="0" borderId="0" xfId="0" applyFont="1" applyAlignment="1">
      <alignment horizontal="right" vertical="top" wrapText="1"/>
    </xf>
    <xf numFmtId="49" fontId="17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46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 wrapText="1"/>
    </xf>
    <xf numFmtId="0" fontId="25" fillId="35" borderId="49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3" fontId="7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Documents%20and%20Settings\&#1040;&#1083;&#1072;&#1089;&#1103;\&#1056;&#1072;&#1073;&#1086;&#1095;&#1080;&#1081;%20&#1089;&#1090;&#1086;&#1083;\2012\&#1041;&#1070;&#1044;&#1046;&#1045;&#1058;%2012%20&#1043;&#1054;&#1044;\2012%20&#1086;&#1090;%2009.11\&#1073;&#1102;&#1076;&#1078;&#1077;&#1090;%202012%20&#1074;&#1090;&#1086;&#1088;&#1086;&#1077;%20&#1095;&#1090;&#1077;&#1085;&#1080;&#1077;\&#1042;&#1057;&#1045;%202009\&#1040;&#1051;&#1040;&#1057;&#1040;%202009\2010\&#1040;&#1056;&#1045;&#1053;&#1044;&#1040;%20&#1047;&#1045;&#1052;&#1051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ело"/>
      <sheetName val="купчегень"/>
      <sheetName val="онгудай"/>
      <sheetName val="теньга"/>
      <sheetName val="кулада"/>
      <sheetName val="каракол"/>
      <sheetName val="шашикман"/>
      <sheetName val="хабар"/>
      <sheetName val="н-талда"/>
      <sheetName val="иня"/>
    </sheetNames>
    <sheetDataSet>
      <sheetData sheetId="1">
        <row r="43">
          <cell r="F43">
            <v>29201</v>
          </cell>
        </row>
        <row r="118">
          <cell r="F118">
            <v>68187.596488</v>
          </cell>
        </row>
      </sheetData>
      <sheetData sheetId="2">
        <row r="34">
          <cell r="F34">
            <v>53996.560000000005</v>
          </cell>
        </row>
      </sheetData>
      <sheetData sheetId="3">
        <row r="434">
          <cell r="G434">
            <v>98725</v>
          </cell>
        </row>
      </sheetData>
      <sheetData sheetId="4">
        <row r="60">
          <cell r="F60">
            <v>171225</v>
          </cell>
        </row>
        <row r="61">
          <cell r="F61">
            <v>91375</v>
          </cell>
        </row>
      </sheetData>
      <sheetData sheetId="5">
        <row r="40">
          <cell r="F40">
            <v>40665</v>
          </cell>
        </row>
      </sheetData>
      <sheetData sheetId="7">
        <row r="16">
          <cell r="F16">
            <v>14721</v>
          </cell>
        </row>
        <row r="17">
          <cell r="F17">
            <v>53531</v>
          </cell>
        </row>
      </sheetData>
      <sheetData sheetId="8">
        <row r="241">
          <cell r="F241">
            <v>168074.2</v>
          </cell>
        </row>
      </sheetData>
      <sheetData sheetId="9">
        <row r="40">
          <cell r="F40">
            <v>33716.33</v>
          </cell>
        </row>
      </sheetData>
      <sheetData sheetId="10">
        <row r="59">
          <cell r="F59">
            <v>55388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="60" zoomScalePageLayoutView="0" workbookViewId="0" topLeftCell="A45">
      <selection activeCell="G68" sqref="G68"/>
    </sheetView>
  </sheetViews>
  <sheetFormatPr defaultColWidth="9.140625" defaultRowHeight="12.75"/>
  <cols>
    <col min="1" max="1" width="47.421875" style="82" customWidth="1"/>
    <col min="2" max="2" width="29.140625" style="77" hidden="1" customWidth="1"/>
    <col min="3" max="5" width="15.7109375" style="76" customWidth="1"/>
    <col min="6" max="6" width="11.57421875" style="75" customWidth="1"/>
    <col min="7" max="7" width="18.00390625" style="75" customWidth="1"/>
    <col min="8" max="8" width="17.57421875" style="75" customWidth="1"/>
    <col min="9" max="9" width="15.421875" style="75" customWidth="1"/>
    <col min="10" max="12" width="13.7109375" style="75" bestFit="1" customWidth="1"/>
    <col min="13" max="16384" width="9.140625" style="75" customWidth="1"/>
  </cols>
  <sheetData>
    <row r="1" spans="1:9" ht="12">
      <c r="A1" s="73"/>
      <c r="B1" s="74"/>
      <c r="C1" s="74"/>
      <c r="D1" s="74"/>
      <c r="E1" s="74"/>
      <c r="F1" s="231"/>
      <c r="G1" s="231"/>
      <c r="H1" s="232" t="s">
        <v>47</v>
      </c>
      <c r="I1" s="232"/>
    </row>
    <row r="2" spans="1:9" ht="15" customHeight="1">
      <c r="A2" s="73"/>
      <c r="B2" s="74"/>
      <c r="F2" s="74"/>
      <c r="G2" s="74"/>
      <c r="H2" s="233" t="s">
        <v>11</v>
      </c>
      <c r="I2" s="233"/>
    </row>
    <row r="3" spans="1:9" ht="12.75" customHeight="1">
      <c r="A3" s="73"/>
      <c r="C3" s="105"/>
      <c r="D3" s="105"/>
      <c r="E3" s="105"/>
      <c r="F3" s="78"/>
      <c r="G3" s="78"/>
      <c r="H3" s="233" t="s">
        <v>211</v>
      </c>
      <c r="I3" s="233"/>
    </row>
    <row r="4" spans="1:9" ht="42.75" customHeight="1">
      <c r="A4" s="73"/>
      <c r="B4" s="78"/>
      <c r="C4" s="78"/>
      <c r="D4" s="104"/>
      <c r="E4" s="78"/>
      <c r="F4" s="78"/>
      <c r="G4" s="78"/>
      <c r="H4" s="233"/>
      <c r="I4" s="233"/>
    </row>
    <row r="5" spans="1:9" ht="12">
      <c r="A5" s="234" t="s">
        <v>355</v>
      </c>
      <c r="B5" s="234"/>
      <c r="C5" s="234"/>
      <c r="D5" s="234"/>
      <c r="E5" s="234"/>
      <c r="F5" s="234"/>
      <c r="G5" s="234"/>
      <c r="H5" s="234"/>
      <c r="I5" s="80"/>
    </row>
    <row r="6" spans="1:9" ht="12.75" customHeight="1">
      <c r="A6" s="234"/>
      <c r="B6" s="234"/>
      <c r="C6" s="234"/>
      <c r="D6" s="234"/>
      <c r="E6" s="234"/>
      <c r="F6" s="234"/>
      <c r="G6" s="234"/>
      <c r="H6" s="234"/>
      <c r="I6" s="79"/>
    </row>
    <row r="7" spans="1:7" s="76" customFormat="1" ht="21.75" customHeight="1">
      <c r="A7" s="81"/>
      <c r="B7" s="81"/>
      <c r="C7" s="81"/>
      <c r="D7" s="81"/>
      <c r="E7" s="81"/>
      <c r="F7" s="81"/>
      <c r="G7" s="81"/>
    </row>
    <row r="8" spans="1:2" s="76" customFormat="1" ht="12" hidden="1">
      <c r="A8" s="82"/>
      <c r="B8" s="77"/>
    </row>
    <row r="9" spans="1:9" s="76" customFormat="1" ht="15.75" customHeight="1">
      <c r="A9" s="220" t="s">
        <v>48</v>
      </c>
      <c r="B9" s="223" t="s">
        <v>49</v>
      </c>
      <c r="C9" s="226" t="s">
        <v>213</v>
      </c>
      <c r="D9" s="226" t="s">
        <v>218</v>
      </c>
      <c r="E9" s="226"/>
      <c r="F9" s="226"/>
      <c r="G9" s="226" t="s">
        <v>214</v>
      </c>
      <c r="H9" s="227" t="s">
        <v>50</v>
      </c>
      <c r="I9" s="228"/>
    </row>
    <row r="10" spans="1:9" s="83" customFormat="1" ht="12">
      <c r="A10" s="221"/>
      <c r="B10" s="224"/>
      <c r="C10" s="226"/>
      <c r="D10" s="226"/>
      <c r="E10" s="226"/>
      <c r="F10" s="226"/>
      <c r="G10" s="226"/>
      <c r="H10" s="229"/>
      <c r="I10" s="230"/>
    </row>
    <row r="11" spans="1:9" s="85" customFormat="1" ht="45" customHeight="1">
      <c r="A11" s="222"/>
      <c r="B11" s="225"/>
      <c r="C11" s="226"/>
      <c r="D11" s="106" t="s">
        <v>221</v>
      </c>
      <c r="E11" s="106" t="s">
        <v>220</v>
      </c>
      <c r="F11" s="84" t="s">
        <v>219</v>
      </c>
      <c r="G11" s="226"/>
      <c r="H11" s="84" t="s">
        <v>51</v>
      </c>
      <c r="I11" s="84" t="s">
        <v>52</v>
      </c>
    </row>
    <row r="12" spans="1:10" ht="12">
      <c r="A12" s="86" t="s">
        <v>53</v>
      </c>
      <c r="B12" s="87" t="s">
        <v>54</v>
      </c>
      <c r="C12" s="88">
        <f>C13+C70</f>
        <v>669303.6686600002</v>
      </c>
      <c r="D12" s="88">
        <f>D13+D70</f>
        <v>393561.14138000004</v>
      </c>
      <c r="E12" s="88">
        <f>E13+E70</f>
        <v>387471.30095000006</v>
      </c>
      <c r="F12" s="88">
        <f>E12/D12*100</f>
        <v>98.45263167785156</v>
      </c>
      <c r="G12" s="88">
        <f>G13+G70</f>
        <v>375072.5507758125</v>
      </c>
      <c r="H12" s="89">
        <f>E12/C12*100</f>
        <v>57.89170433291495</v>
      </c>
      <c r="I12" s="90">
        <f>G12/E12*100</f>
        <v>96.8000855434226</v>
      </c>
      <c r="J12" s="91"/>
    </row>
    <row r="13" spans="1:9" ht="17.25" customHeight="1">
      <c r="A13" s="86" t="s">
        <v>55</v>
      </c>
      <c r="B13" s="87" t="s">
        <v>56</v>
      </c>
      <c r="C13" s="88">
        <f>C14+C42</f>
        <v>98274.2676</v>
      </c>
      <c r="D13" s="88">
        <f>D14+D42</f>
        <v>93929.58</v>
      </c>
      <c r="E13" s="88">
        <f>E14+E42</f>
        <v>87839.73957</v>
      </c>
      <c r="F13" s="88">
        <f aca="true" t="shared" si="0" ref="F13:F75">E13/D13*100</f>
        <v>93.5165893108433</v>
      </c>
      <c r="G13" s="88">
        <f>G14+G42</f>
        <v>92679.85077581249</v>
      </c>
      <c r="H13" s="89">
        <f aca="true" t="shared" si="1" ref="H13:H76">E13/C13*100</f>
        <v>89.3822378076924</v>
      </c>
      <c r="I13" s="90">
        <f aca="true" t="shared" si="2" ref="I13:I75">G13/E13*100</f>
        <v>105.51016115200953</v>
      </c>
    </row>
    <row r="14" spans="1:9" ht="12">
      <c r="A14" s="86" t="s">
        <v>57</v>
      </c>
      <c r="B14" s="87"/>
      <c r="C14" s="88">
        <f>C15+C17+C24+C31+C34+C16</f>
        <v>82378.3506</v>
      </c>
      <c r="D14" s="88">
        <f>D15+D17+D24+D31+D34+D16</f>
        <v>89895.24</v>
      </c>
      <c r="E14" s="88">
        <f>E15+E17+E24+E31+E34</f>
        <v>83863.78857</v>
      </c>
      <c r="F14" s="88">
        <f t="shared" si="0"/>
        <v>93.29057753224753</v>
      </c>
      <c r="G14" s="88">
        <f>G15+G17+G24+G31+G34+G16</f>
        <v>87551.8305858125</v>
      </c>
      <c r="H14" s="89">
        <f t="shared" si="1"/>
        <v>101.80318974485512</v>
      </c>
      <c r="I14" s="90">
        <f t="shared" si="2"/>
        <v>104.39765729488137</v>
      </c>
    </row>
    <row r="15" spans="1:9" ht="17.25" customHeight="1">
      <c r="A15" s="86" t="s">
        <v>464</v>
      </c>
      <c r="B15" s="87" t="s">
        <v>222</v>
      </c>
      <c r="C15" s="88">
        <v>42359.39944</v>
      </c>
      <c r="D15" s="88">
        <v>43000</v>
      </c>
      <c r="E15" s="88">
        <f>29246.45557+9000</f>
        <v>38246.45557</v>
      </c>
      <c r="F15" s="88">
        <f t="shared" si="0"/>
        <v>88.9452455116279</v>
      </c>
      <c r="G15" s="88">
        <f>ндфл!C25</f>
        <v>37732.6966438</v>
      </c>
      <c r="H15" s="89">
        <f t="shared" si="1"/>
        <v>90.29036312040782</v>
      </c>
      <c r="I15" s="90">
        <f t="shared" si="2"/>
        <v>98.65671493333625</v>
      </c>
    </row>
    <row r="16" spans="1:9" ht="36">
      <c r="A16" s="86" t="s">
        <v>224</v>
      </c>
      <c r="B16" s="87" t="s">
        <v>223</v>
      </c>
      <c r="C16" s="88"/>
      <c r="D16" s="88">
        <v>2843.7</v>
      </c>
      <c r="E16" s="88">
        <v>2843.7</v>
      </c>
      <c r="F16" s="88">
        <f t="shared" si="0"/>
        <v>100</v>
      </c>
      <c r="G16" s="88">
        <v>4150.2</v>
      </c>
      <c r="H16" s="89"/>
      <c r="I16" s="90">
        <f t="shared" si="2"/>
        <v>145.94366494355947</v>
      </c>
    </row>
    <row r="17" spans="1:9" ht="12">
      <c r="A17" s="86" t="s">
        <v>58</v>
      </c>
      <c r="B17" s="87" t="s">
        <v>59</v>
      </c>
      <c r="C17" s="88">
        <f>C18+C22+C23</f>
        <v>17862.720670000002</v>
      </c>
      <c r="D17" s="88">
        <f>D18+D22+D23</f>
        <v>22442.14</v>
      </c>
      <c r="E17" s="88">
        <f>E18+E22+E23</f>
        <v>18191.39719</v>
      </c>
      <c r="F17" s="88">
        <f t="shared" si="0"/>
        <v>81.05910216227151</v>
      </c>
      <c r="G17" s="88">
        <f>G18+G22+G23</f>
        <v>18751.466712949998</v>
      </c>
      <c r="H17" s="89">
        <f t="shared" si="1"/>
        <v>101.84001376986207</v>
      </c>
      <c r="I17" s="90">
        <f t="shared" si="2"/>
        <v>103.0787603453454</v>
      </c>
    </row>
    <row r="18" spans="1:9" ht="29.25" customHeight="1">
      <c r="A18" s="86" t="s">
        <v>60</v>
      </c>
      <c r="B18" s="87" t="s">
        <v>61</v>
      </c>
      <c r="C18" s="88">
        <f>SUM(C19:C21)</f>
        <v>9356.30156</v>
      </c>
      <c r="D18" s="88">
        <f>SUM(D19:D21)</f>
        <v>10654</v>
      </c>
      <c r="E18" s="88">
        <f>SUM(E19:E21)</f>
        <v>9036.09454</v>
      </c>
      <c r="F18" s="88">
        <f t="shared" si="0"/>
        <v>84.81410305988362</v>
      </c>
      <c r="G18" s="88">
        <f>SUM(G19:G21)</f>
        <v>7839.055479999999</v>
      </c>
      <c r="H18" s="89">
        <f t="shared" si="1"/>
        <v>96.57763254052277</v>
      </c>
      <c r="I18" s="90">
        <f t="shared" si="2"/>
        <v>86.75269437807364</v>
      </c>
    </row>
    <row r="19" spans="1:9" ht="24">
      <c r="A19" s="86" t="s">
        <v>62</v>
      </c>
      <c r="B19" s="87" t="s">
        <v>63</v>
      </c>
      <c r="C19" s="88">
        <v>5284.29065</v>
      </c>
      <c r="D19" s="88">
        <v>4954</v>
      </c>
      <c r="E19" s="88">
        <f>2507.77406+1253.07316</f>
        <v>3760.84722</v>
      </c>
      <c r="F19" s="88">
        <f t="shared" si="0"/>
        <v>75.91536576503836</v>
      </c>
      <c r="G19" s="88">
        <f>усн!H36</f>
        <v>3657.4368299999996</v>
      </c>
      <c r="H19" s="89">
        <f t="shared" si="1"/>
        <v>71.17033238888932</v>
      </c>
      <c r="I19" s="90">
        <f t="shared" si="2"/>
        <v>97.25034323516071</v>
      </c>
    </row>
    <row r="20" spans="1:9" ht="36">
      <c r="A20" s="86" t="s">
        <v>64</v>
      </c>
      <c r="B20" s="87" t="s">
        <v>65</v>
      </c>
      <c r="C20" s="88">
        <v>2130.82753</v>
      </c>
      <c r="D20" s="88">
        <v>3300</v>
      </c>
      <c r="E20" s="88">
        <f>3378.11223+715.40722</f>
        <v>4093.5194500000002</v>
      </c>
      <c r="F20" s="88">
        <f t="shared" si="0"/>
        <v>124.04604393939395</v>
      </c>
      <c r="G20" s="88">
        <f>усн!H37</f>
        <v>2999.61865</v>
      </c>
      <c r="H20" s="89">
        <f t="shared" si="1"/>
        <v>192.1093749901007</v>
      </c>
      <c r="I20" s="90">
        <f t="shared" si="2"/>
        <v>73.27725412419866</v>
      </c>
    </row>
    <row r="21" spans="1:9" ht="39" customHeight="1">
      <c r="A21" s="86" t="s">
        <v>66</v>
      </c>
      <c r="B21" s="87" t="s">
        <v>67</v>
      </c>
      <c r="C21" s="88">
        <v>1941.18338</v>
      </c>
      <c r="D21" s="88">
        <v>2400</v>
      </c>
      <c r="E21" s="88">
        <f>1071.72787+110</f>
        <v>1181.72787</v>
      </c>
      <c r="F21" s="88">
        <f t="shared" si="0"/>
        <v>49.23866125</v>
      </c>
      <c r="G21" s="88">
        <f>усн!H38</f>
        <v>1182</v>
      </c>
      <c r="H21" s="89">
        <f t="shared" si="1"/>
        <v>60.876673588664254</v>
      </c>
      <c r="I21" s="90">
        <f t="shared" si="2"/>
        <v>100.02302814437304</v>
      </c>
    </row>
    <row r="22" spans="1:9" ht="24">
      <c r="A22" s="86" t="s">
        <v>68</v>
      </c>
      <c r="B22" s="87" t="s">
        <v>69</v>
      </c>
      <c r="C22" s="88">
        <v>8033.02036</v>
      </c>
      <c r="D22" s="88">
        <v>11193.14</v>
      </c>
      <c r="E22" s="88">
        <f>5925.36924+2188.93341</f>
        <v>8114.30265</v>
      </c>
      <c r="F22" s="88">
        <f t="shared" si="0"/>
        <v>72.49353309259064</v>
      </c>
      <c r="G22" s="88">
        <f>енвд!F25</f>
        <v>9869.796232949999</v>
      </c>
      <c r="H22" s="89">
        <f t="shared" si="1"/>
        <v>101.01185215967759</v>
      </c>
      <c r="I22" s="90">
        <f t="shared" si="2"/>
        <v>121.63455886070504</v>
      </c>
    </row>
    <row r="23" spans="1:9" ht="12">
      <c r="A23" s="86" t="s">
        <v>70</v>
      </c>
      <c r="B23" s="87" t="s">
        <v>71</v>
      </c>
      <c r="C23" s="88">
        <v>473.39875</v>
      </c>
      <c r="D23" s="88">
        <v>595</v>
      </c>
      <c r="E23" s="88">
        <v>1041</v>
      </c>
      <c r="F23" s="88">
        <f t="shared" si="0"/>
        <v>174.9579831932773</v>
      </c>
      <c r="G23" s="88">
        <f>есхн!D25</f>
        <v>1042.615</v>
      </c>
      <c r="H23" s="89">
        <f t="shared" si="1"/>
        <v>219.89918646806737</v>
      </c>
      <c r="I23" s="90">
        <f t="shared" si="2"/>
        <v>100.15513928914505</v>
      </c>
    </row>
    <row r="24" spans="1:9" ht="12">
      <c r="A24" s="86" t="s">
        <v>72</v>
      </c>
      <c r="B24" s="87" t="s">
        <v>73</v>
      </c>
      <c r="C24" s="88">
        <v>20189.19066</v>
      </c>
      <c r="D24" s="88">
        <v>19800.4</v>
      </c>
      <c r="E24" s="88">
        <f>19498.36659+6000</f>
        <v>25498.36659</v>
      </c>
      <c r="F24" s="88">
        <f t="shared" si="0"/>
        <v>128.77702768630937</v>
      </c>
      <c r="G24" s="88">
        <f>нио!C23</f>
        <v>24524.4672290625</v>
      </c>
      <c r="H24" s="89">
        <f t="shared" si="1"/>
        <v>126.29712116453906</v>
      </c>
      <c r="I24" s="90">
        <f t="shared" si="2"/>
        <v>96.18054216335783</v>
      </c>
    </row>
    <row r="25" spans="1:9" ht="12" hidden="1">
      <c r="A25" s="86" t="s">
        <v>74</v>
      </c>
      <c r="B25" s="87" t="s">
        <v>75</v>
      </c>
      <c r="C25" s="88">
        <f>C26+C27</f>
        <v>20740.800000000003</v>
      </c>
      <c r="D25" s="88"/>
      <c r="E25" s="88"/>
      <c r="F25" s="88" t="e">
        <f t="shared" si="0"/>
        <v>#DIV/0!</v>
      </c>
      <c r="G25" s="88">
        <f>G26+G27</f>
        <v>21168.4</v>
      </c>
      <c r="H25" s="89">
        <f t="shared" si="1"/>
        <v>0</v>
      </c>
      <c r="I25" s="90" t="e">
        <f t="shared" si="2"/>
        <v>#DIV/0!</v>
      </c>
    </row>
    <row r="26" spans="1:9" ht="24" hidden="1">
      <c r="A26" s="86" t="s">
        <v>76</v>
      </c>
      <c r="B26" s="87" t="s">
        <v>77</v>
      </c>
      <c r="C26" s="88">
        <v>20740.4</v>
      </c>
      <c r="D26" s="88"/>
      <c r="E26" s="88"/>
      <c r="F26" s="88" t="e">
        <f t="shared" si="0"/>
        <v>#DIV/0!</v>
      </c>
      <c r="G26" s="88">
        <v>21168</v>
      </c>
      <c r="H26" s="89">
        <f t="shared" si="1"/>
        <v>0</v>
      </c>
      <c r="I26" s="90" t="e">
        <f t="shared" si="2"/>
        <v>#DIV/0!</v>
      </c>
    </row>
    <row r="27" spans="1:9" ht="24" hidden="1">
      <c r="A27" s="86" t="s">
        <v>78</v>
      </c>
      <c r="B27" s="87" t="s">
        <v>79</v>
      </c>
      <c r="C27" s="88">
        <v>0.4</v>
      </c>
      <c r="D27" s="88"/>
      <c r="E27" s="88"/>
      <c r="F27" s="88" t="e">
        <f t="shared" si="0"/>
        <v>#DIV/0!</v>
      </c>
      <c r="G27" s="88">
        <v>0.4</v>
      </c>
      <c r="H27" s="89">
        <f t="shared" si="1"/>
        <v>0</v>
      </c>
      <c r="I27" s="90" t="e">
        <f t="shared" si="2"/>
        <v>#DIV/0!</v>
      </c>
    </row>
    <row r="28" spans="1:9" ht="12" hidden="1">
      <c r="A28" s="86" t="s">
        <v>80</v>
      </c>
      <c r="B28" s="87" t="s">
        <v>81</v>
      </c>
      <c r="C28" s="88">
        <f>C29+C30</f>
        <v>0</v>
      </c>
      <c r="D28" s="88"/>
      <c r="E28" s="88"/>
      <c r="F28" s="88" t="e">
        <f t="shared" si="0"/>
        <v>#DIV/0!</v>
      </c>
      <c r="G28" s="88">
        <f>G29+G30</f>
        <v>0</v>
      </c>
      <c r="H28" s="89" t="e">
        <f t="shared" si="1"/>
        <v>#DIV/0!</v>
      </c>
      <c r="I28" s="90" t="e">
        <f t="shared" si="2"/>
        <v>#DIV/0!</v>
      </c>
    </row>
    <row r="29" spans="1:9" ht="12" hidden="1">
      <c r="A29" s="86" t="s">
        <v>82</v>
      </c>
      <c r="B29" s="87" t="s">
        <v>83</v>
      </c>
      <c r="C29" s="88"/>
      <c r="D29" s="88"/>
      <c r="E29" s="88"/>
      <c r="F29" s="88" t="e">
        <f t="shared" si="0"/>
        <v>#DIV/0!</v>
      </c>
      <c r="G29" s="88"/>
      <c r="H29" s="89" t="e">
        <f t="shared" si="1"/>
        <v>#DIV/0!</v>
      </c>
      <c r="I29" s="90" t="e">
        <f t="shared" si="2"/>
        <v>#DIV/0!</v>
      </c>
    </row>
    <row r="30" spans="1:9" ht="12" hidden="1">
      <c r="A30" s="86" t="s">
        <v>84</v>
      </c>
      <c r="B30" s="87" t="s">
        <v>85</v>
      </c>
      <c r="C30" s="88"/>
      <c r="D30" s="88"/>
      <c r="E30" s="88"/>
      <c r="F30" s="88" t="e">
        <f t="shared" si="0"/>
        <v>#DIV/0!</v>
      </c>
      <c r="G30" s="88"/>
      <c r="H30" s="89" t="e">
        <f t="shared" si="1"/>
        <v>#DIV/0!</v>
      </c>
      <c r="I30" s="90" t="e">
        <f t="shared" si="2"/>
        <v>#DIV/0!</v>
      </c>
    </row>
    <row r="31" spans="1:9" ht="24">
      <c r="A31" s="86" t="s">
        <v>86</v>
      </c>
      <c r="B31" s="87" t="s">
        <v>87</v>
      </c>
      <c r="C31" s="88">
        <v>211.5979</v>
      </c>
      <c r="D31" s="88">
        <v>200</v>
      </c>
      <c r="E31" s="88">
        <v>27</v>
      </c>
      <c r="F31" s="88">
        <f t="shared" si="0"/>
        <v>13.5</v>
      </c>
      <c r="G31" s="88">
        <v>27</v>
      </c>
      <c r="H31" s="89">
        <f t="shared" si="1"/>
        <v>12.760051021300306</v>
      </c>
      <c r="I31" s="90">
        <f t="shared" si="2"/>
        <v>100</v>
      </c>
    </row>
    <row r="32" spans="1:9" ht="12" hidden="1">
      <c r="A32" s="86" t="s">
        <v>88</v>
      </c>
      <c r="B32" s="87" t="s">
        <v>89</v>
      </c>
      <c r="C32" s="88">
        <f>C33</f>
        <v>7</v>
      </c>
      <c r="D32" s="88"/>
      <c r="E32" s="88"/>
      <c r="F32" s="88" t="e">
        <f t="shared" si="0"/>
        <v>#DIV/0!</v>
      </c>
      <c r="G32" s="88">
        <f>G33</f>
        <v>9</v>
      </c>
      <c r="H32" s="89">
        <f t="shared" si="1"/>
        <v>0</v>
      </c>
      <c r="I32" s="90" t="e">
        <f t="shared" si="2"/>
        <v>#DIV/0!</v>
      </c>
    </row>
    <row r="33" spans="1:9" ht="24" hidden="1">
      <c r="A33" s="86" t="s">
        <v>90</v>
      </c>
      <c r="B33" s="87" t="s">
        <v>91</v>
      </c>
      <c r="C33" s="88">
        <v>7</v>
      </c>
      <c r="D33" s="88"/>
      <c r="E33" s="88"/>
      <c r="F33" s="88" t="e">
        <f t="shared" si="0"/>
        <v>#DIV/0!</v>
      </c>
      <c r="G33" s="88">
        <v>9</v>
      </c>
      <c r="H33" s="89">
        <f t="shared" si="1"/>
        <v>0</v>
      </c>
      <c r="I33" s="90" t="e">
        <f t="shared" si="2"/>
        <v>#DIV/0!</v>
      </c>
    </row>
    <row r="34" spans="1:9" ht="12">
      <c r="A34" s="86" t="s">
        <v>92</v>
      </c>
      <c r="B34" s="87" t="s">
        <v>93</v>
      </c>
      <c r="C34" s="88">
        <f>C36+C39+C41</f>
        <v>1755.44193</v>
      </c>
      <c r="D34" s="88">
        <f>D36+D39+D41</f>
        <v>1609</v>
      </c>
      <c r="E34" s="88">
        <f>E36+E39+E41</f>
        <v>1900.56922</v>
      </c>
      <c r="F34" s="88">
        <f t="shared" si="0"/>
        <v>118.12114481044127</v>
      </c>
      <c r="G34" s="88">
        <f>G35+G37</f>
        <v>2366</v>
      </c>
      <c r="H34" s="89">
        <f t="shared" si="1"/>
        <v>108.26727945367011</v>
      </c>
      <c r="I34" s="90">
        <f t="shared" si="2"/>
        <v>124.48902018943566</v>
      </c>
    </row>
    <row r="35" spans="1:9" ht="24" hidden="1">
      <c r="A35" s="86" t="s">
        <v>94</v>
      </c>
      <c r="B35" s="87" t="s">
        <v>95</v>
      </c>
      <c r="C35" s="88">
        <f>C36</f>
        <v>1252.16193</v>
      </c>
      <c r="D35" s="88"/>
      <c r="E35" s="88"/>
      <c r="F35" s="88" t="e">
        <f t="shared" si="0"/>
        <v>#DIV/0!</v>
      </c>
      <c r="G35" s="88">
        <f>G36</f>
        <v>1600</v>
      </c>
      <c r="H35" s="89">
        <f t="shared" si="1"/>
        <v>0</v>
      </c>
      <c r="I35" s="90" t="e">
        <f t="shared" si="2"/>
        <v>#DIV/0!</v>
      </c>
    </row>
    <row r="36" spans="1:9" ht="36">
      <c r="A36" s="86" t="s">
        <v>96</v>
      </c>
      <c r="B36" s="87" t="s">
        <v>97</v>
      </c>
      <c r="C36" s="88">
        <v>1252.16193</v>
      </c>
      <c r="D36" s="88">
        <v>1150</v>
      </c>
      <c r="E36" s="88">
        <f>316+1235.56922</f>
        <v>1551.56922</v>
      </c>
      <c r="F36" s="88">
        <f t="shared" si="0"/>
        <v>134.91906260869567</v>
      </c>
      <c r="G36" s="88">
        <v>1600</v>
      </c>
      <c r="H36" s="89">
        <f t="shared" si="1"/>
        <v>123.91122767963407</v>
      </c>
      <c r="I36" s="90">
        <f t="shared" si="2"/>
        <v>103.12140633983444</v>
      </c>
    </row>
    <row r="37" spans="1:9" ht="24" hidden="1">
      <c r="A37" s="86" t="s">
        <v>98</v>
      </c>
      <c r="B37" s="87" t="s">
        <v>99</v>
      </c>
      <c r="C37" s="88">
        <f>C38+C40+C41</f>
        <v>503.28</v>
      </c>
      <c r="D37" s="88"/>
      <c r="E37" s="88"/>
      <c r="F37" s="88" t="e">
        <f t="shared" si="0"/>
        <v>#DIV/0!</v>
      </c>
      <c r="G37" s="88">
        <f>G38+G40+G41</f>
        <v>766</v>
      </c>
      <c r="H37" s="89">
        <f t="shared" si="1"/>
        <v>0</v>
      </c>
      <c r="I37" s="90" t="e">
        <f t="shared" si="2"/>
        <v>#DIV/0!</v>
      </c>
    </row>
    <row r="38" spans="1:9" ht="48" hidden="1">
      <c r="A38" s="86" t="s">
        <v>100</v>
      </c>
      <c r="B38" s="87" t="s">
        <v>101</v>
      </c>
      <c r="C38" s="88">
        <f>C39</f>
        <v>500.28</v>
      </c>
      <c r="D38" s="88"/>
      <c r="E38" s="88"/>
      <c r="F38" s="88" t="e">
        <f t="shared" si="0"/>
        <v>#DIV/0!</v>
      </c>
      <c r="G38" s="88">
        <v>763</v>
      </c>
      <c r="H38" s="89">
        <f t="shared" si="1"/>
        <v>0</v>
      </c>
      <c r="I38" s="90" t="e">
        <f t="shared" si="2"/>
        <v>#DIV/0!</v>
      </c>
    </row>
    <row r="39" spans="1:9" ht="60">
      <c r="A39" s="86" t="s">
        <v>102</v>
      </c>
      <c r="B39" s="87" t="s">
        <v>103</v>
      </c>
      <c r="C39" s="88">
        <v>500.28</v>
      </c>
      <c r="D39" s="88">
        <v>450</v>
      </c>
      <c r="E39" s="88">
        <v>340</v>
      </c>
      <c r="F39" s="88">
        <f t="shared" si="0"/>
        <v>75.55555555555556</v>
      </c>
      <c r="G39" s="88">
        <v>340</v>
      </c>
      <c r="H39" s="89">
        <f t="shared" si="1"/>
        <v>67.96194131286481</v>
      </c>
      <c r="I39" s="90">
        <f t="shared" si="2"/>
        <v>100</v>
      </c>
    </row>
    <row r="40" spans="1:9" ht="48" hidden="1">
      <c r="A40" s="86" t="s">
        <v>104</v>
      </c>
      <c r="B40" s="87" t="s">
        <v>105</v>
      </c>
      <c r="C40" s="88"/>
      <c r="D40" s="88"/>
      <c r="E40" s="88"/>
      <c r="F40" s="88" t="e">
        <f t="shared" si="0"/>
        <v>#DIV/0!</v>
      </c>
      <c r="G40" s="88"/>
      <c r="H40" s="89" t="e">
        <f t="shared" si="1"/>
        <v>#DIV/0!</v>
      </c>
      <c r="I40" s="90" t="e">
        <f t="shared" si="2"/>
        <v>#DIV/0!</v>
      </c>
    </row>
    <row r="41" spans="1:9" ht="24">
      <c r="A41" s="86" t="s">
        <v>106</v>
      </c>
      <c r="B41" s="87" t="s">
        <v>107</v>
      </c>
      <c r="C41" s="88">
        <v>3</v>
      </c>
      <c r="D41" s="88">
        <v>9</v>
      </c>
      <c r="E41" s="88">
        <v>9</v>
      </c>
      <c r="F41" s="88">
        <f t="shared" si="0"/>
        <v>100</v>
      </c>
      <c r="G41" s="88">
        <v>3</v>
      </c>
      <c r="H41" s="89">
        <f t="shared" si="1"/>
        <v>300</v>
      </c>
      <c r="I41" s="90">
        <f t="shared" si="2"/>
        <v>33.33333333333333</v>
      </c>
    </row>
    <row r="42" spans="1:9" ht="12">
      <c r="A42" s="86" t="s">
        <v>108</v>
      </c>
      <c r="B42" s="87"/>
      <c r="C42" s="88">
        <f>C43+C47+C48+C49+C52+C55+C69</f>
        <v>15895.916999999998</v>
      </c>
      <c r="D42" s="88">
        <f>D43+D47+D48+D49+D52+D55+D69</f>
        <v>4034.3399999999997</v>
      </c>
      <c r="E42" s="88">
        <f>E43+E47+E48+E49+E52+E55+E69</f>
        <v>3975.951</v>
      </c>
      <c r="F42" s="88">
        <f t="shared" si="0"/>
        <v>98.55270006989991</v>
      </c>
      <c r="G42" s="88">
        <f>G43+G47+G48+G49+G52+G55+G69</f>
        <v>5128.020189999999</v>
      </c>
      <c r="H42" s="89">
        <f t="shared" si="1"/>
        <v>25.012404128682856</v>
      </c>
      <c r="I42" s="90">
        <f t="shared" si="2"/>
        <v>128.97594034735334</v>
      </c>
    </row>
    <row r="43" spans="1:9" ht="54.75" customHeight="1">
      <c r="A43" s="86" t="s">
        <v>109</v>
      </c>
      <c r="B43" s="87" t="s">
        <v>110</v>
      </c>
      <c r="C43" s="88">
        <f>SUM(C44:C46)</f>
        <v>1253.8662499999998</v>
      </c>
      <c r="D43" s="88">
        <f>SUM(D44:D46)</f>
        <v>1711.8300000000002</v>
      </c>
      <c r="E43" s="88">
        <f>SUM(E44:E46)</f>
        <v>1638.751</v>
      </c>
      <c r="F43" s="88">
        <f t="shared" si="0"/>
        <v>95.73094290905054</v>
      </c>
      <c r="G43" s="88">
        <f>SUM(G45:G46)</f>
        <v>1711.422005</v>
      </c>
      <c r="H43" s="89">
        <f t="shared" si="1"/>
        <v>130.69583777376576</v>
      </c>
      <c r="I43" s="90">
        <f t="shared" si="2"/>
        <v>104.4345361192762</v>
      </c>
    </row>
    <row r="44" spans="1:9" ht="36" hidden="1">
      <c r="A44" s="86" t="s">
        <v>111</v>
      </c>
      <c r="B44" s="87" t="s">
        <v>112</v>
      </c>
      <c r="C44" s="88">
        <v>-3.036</v>
      </c>
      <c r="D44" s="88"/>
      <c r="E44" s="88"/>
      <c r="F44" s="88" t="e">
        <f t="shared" si="0"/>
        <v>#DIV/0!</v>
      </c>
      <c r="G44" s="88"/>
      <c r="H44" s="89">
        <f t="shared" si="1"/>
        <v>0</v>
      </c>
      <c r="I44" s="90" t="e">
        <f t="shared" si="2"/>
        <v>#DIV/0!</v>
      </c>
    </row>
    <row r="45" spans="1:9" ht="60">
      <c r="A45" s="86" t="s">
        <v>113</v>
      </c>
      <c r="B45" s="87" t="s">
        <v>212</v>
      </c>
      <c r="C45" s="88">
        <v>1071.23705</v>
      </c>
      <c r="D45" s="88">
        <v>1517.68</v>
      </c>
      <c r="E45" s="88">
        <f>1041.751+402</f>
        <v>1443.751</v>
      </c>
      <c r="F45" s="88">
        <f t="shared" si="0"/>
        <v>95.12881503347214</v>
      </c>
      <c r="G45" s="88">
        <f>'аренда зу'!N23</f>
        <v>1517.274005</v>
      </c>
      <c r="H45" s="89">
        <f t="shared" si="1"/>
        <v>134.77418466809004</v>
      </c>
      <c r="I45" s="90">
        <f t="shared" si="2"/>
        <v>105.09249898355048</v>
      </c>
    </row>
    <row r="46" spans="1:9" ht="60">
      <c r="A46" s="86" t="s">
        <v>114</v>
      </c>
      <c r="B46" s="87" t="s">
        <v>115</v>
      </c>
      <c r="C46" s="88">
        <v>185.6652</v>
      </c>
      <c r="D46" s="88">
        <v>194.15</v>
      </c>
      <c r="E46" s="88">
        <v>195</v>
      </c>
      <c r="F46" s="88">
        <f t="shared" si="0"/>
        <v>100.43780582024209</v>
      </c>
      <c r="G46" s="88">
        <f>'аренда помещения'!E18</f>
        <v>194.148</v>
      </c>
      <c r="H46" s="89">
        <f t="shared" si="1"/>
        <v>105.02775964477995</v>
      </c>
      <c r="I46" s="90">
        <f t="shared" si="2"/>
        <v>99.56307692307692</v>
      </c>
    </row>
    <row r="47" spans="1:9" ht="24">
      <c r="A47" s="86" t="s">
        <v>116</v>
      </c>
      <c r="B47" s="87" t="s">
        <v>117</v>
      </c>
      <c r="C47" s="88">
        <v>145.96557</v>
      </c>
      <c r="D47" s="88">
        <v>170</v>
      </c>
      <c r="E47" s="88">
        <v>170</v>
      </c>
      <c r="F47" s="88">
        <f t="shared" si="0"/>
        <v>100</v>
      </c>
      <c r="G47" s="88">
        <v>255</v>
      </c>
      <c r="H47" s="89">
        <f t="shared" si="1"/>
        <v>116.46582135773525</v>
      </c>
      <c r="I47" s="90">
        <f t="shared" si="2"/>
        <v>150</v>
      </c>
    </row>
    <row r="48" spans="1:9" ht="24" hidden="1">
      <c r="A48" s="86" t="s">
        <v>118</v>
      </c>
      <c r="B48" s="87" t="s">
        <v>119</v>
      </c>
      <c r="C48" s="88">
        <v>11386.9965</v>
      </c>
      <c r="D48" s="88"/>
      <c r="E48" s="88"/>
      <c r="F48" s="88" t="e">
        <f t="shared" si="0"/>
        <v>#DIV/0!</v>
      </c>
      <c r="G48" s="88"/>
      <c r="H48" s="89">
        <f t="shared" si="1"/>
        <v>0</v>
      </c>
      <c r="I48" s="90" t="e">
        <f t="shared" si="2"/>
        <v>#DIV/0!</v>
      </c>
    </row>
    <row r="49" spans="1:9" ht="24">
      <c r="A49" s="86" t="s">
        <v>120</v>
      </c>
      <c r="B49" s="87" t="s">
        <v>121</v>
      </c>
      <c r="C49" s="88">
        <f>SUM(C50:C51)</f>
        <v>419.44846</v>
      </c>
      <c r="D49" s="88">
        <f>SUM(D50:D51)</f>
        <v>400</v>
      </c>
      <c r="E49" s="88">
        <f>SUM(E50:E51)</f>
        <v>318.2</v>
      </c>
      <c r="F49" s="88">
        <f t="shared" si="0"/>
        <v>79.55</v>
      </c>
      <c r="G49" s="88">
        <f>SUM(G50:G51)</f>
        <v>1325</v>
      </c>
      <c r="H49" s="89">
        <f t="shared" si="1"/>
        <v>75.86152539456218</v>
      </c>
      <c r="I49" s="90">
        <f t="shared" si="2"/>
        <v>416.4047768698931</v>
      </c>
    </row>
    <row r="50" spans="1:9" ht="72">
      <c r="A50" s="86" t="s">
        <v>122</v>
      </c>
      <c r="B50" s="87" t="s">
        <v>123</v>
      </c>
      <c r="C50" s="88">
        <v>60</v>
      </c>
      <c r="D50" s="88"/>
      <c r="E50" s="88">
        <v>18.2</v>
      </c>
      <c r="F50" s="88" t="e">
        <f t="shared" si="0"/>
        <v>#DIV/0!</v>
      </c>
      <c r="G50" s="88">
        <v>1325</v>
      </c>
      <c r="H50" s="89">
        <f t="shared" si="1"/>
        <v>30.333333333333336</v>
      </c>
      <c r="I50" s="90">
        <f t="shared" si="2"/>
        <v>7280.219780219781</v>
      </c>
    </row>
    <row r="51" spans="1:9" ht="48">
      <c r="A51" s="86" t="s">
        <v>124</v>
      </c>
      <c r="B51" s="87" t="s">
        <v>125</v>
      </c>
      <c r="C51" s="88">
        <v>359.44846</v>
      </c>
      <c r="D51" s="88">
        <v>400</v>
      </c>
      <c r="E51" s="88">
        <v>300</v>
      </c>
      <c r="F51" s="88">
        <f t="shared" si="0"/>
        <v>75</v>
      </c>
      <c r="G51" s="88"/>
      <c r="H51" s="89">
        <f t="shared" si="1"/>
        <v>83.46120052927755</v>
      </c>
      <c r="I51" s="90">
        <f t="shared" si="2"/>
        <v>0</v>
      </c>
    </row>
    <row r="52" spans="1:9" ht="12" hidden="1">
      <c r="A52" s="86" t="s">
        <v>126</v>
      </c>
      <c r="B52" s="87" t="s">
        <v>127</v>
      </c>
      <c r="C52" s="88">
        <f>C53</f>
        <v>0</v>
      </c>
      <c r="D52" s="88"/>
      <c r="E52" s="88"/>
      <c r="F52" s="88" t="e">
        <f t="shared" si="0"/>
        <v>#DIV/0!</v>
      </c>
      <c r="G52" s="88">
        <f>G53</f>
        <v>0</v>
      </c>
      <c r="H52" s="89" t="e">
        <f t="shared" si="1"/>
        <v>#DIV/0!</v>
      </c>
      <c r="I52" s="90" t="e">
        <f t="shared" si="2"/>
        <v>#DIV/0!</v>
      </c>
    </row>
    <row r="53" spans="1:9" ht="24" hidden="1">
      <c r="A53" s="86" t="s">
        <v>128</v>
      </c>
      <c r="B53" s="87" t="s">
        <v>129</v>
      </c>
      <c r="C53" s="88">
        <f>C54</f>
        <v>0</v>
      </c>
      <c r="D53" s="88"/>
      <c r="E53" s="88"/>
      <c r="F53" s="88" t="e">
        <f t="shared" si="0"/>
        <v>#DIV/0!</v>
      </c>
      <c r="G53" s="88">
        <f>G54</f>
        <v>0</v>
      </c>
      <c r="H53" s="89" t="e">
        <f t="shared" si="1"/>
        <v>#DIV/0!</v>
      </c>
      <c r="I53" s="90" t="e">
        <f t="shared" si="2"/>
        <v>#DIV/0!</v>
      </c>
    </row>
    <row r="54" spans="1:9" ht="24" hidden="1">
      <c r="A54" s="86" t="s">
        <v>130</v>
      </c>
      <c r="B54" s="87" t="s">
        <v>131</v>
      </c>
      <c r="C54" s="88"/>
      <c r="D54" s="88"/>
      <c r="E54" s="88"/>
      <c r="F54" s="88" t="e">
        <f t="shared" si="0"/>
        <v>#DIV/0!</v>
      </c>
      <c r="G54" s="88"/>
      <c r="H54" s="89" t="e">
        <f t="shared" si="1"/>
        <v>#DIV/0!</v>
      </c>
      <c r="I54" s="90" t="e">
        <f t="shared" si="2"/>
        <v>#DIV/0!</v>
      </c>
    </row>
    <row r="55" spans="1:9" ht="12">
      <c r="A55" s="86" t="s">
        <v>132</v>
      </c>
      <c r="B55" s="87" t="s">
        <v>133</v>
      </c>
      <c r="C55" s="88">
        <f>SUM(C56:C68)</f>
        <v>1904.67637</v>
      </c>
      <c r="D55" s="88">
        <f>SUM(D56:D68)</f>
        <v>1752.5099999999998</v>
      </c>
      <c r="E55" s="88">
        <f>SUM(E56:E68)</f>
        <v>1775</v>
      </c>
      <c r="F55" s="88">
        <f t="shared" si="0"/>
        <v>101.28330223507997</v>
      </c>
      <c r="G55" s="88">
        <f>SUM(G56:G68)</f>
        <v>1836.5981849999998</v>
      </c>
      <c r="H55" s="89">
        <f t="shared" si="1"/>
        <v>93.19168484250162</v>
      </c>
      <c r="I55" s="90">
        <f>G55/E55*100</f>
        <v>103.47032028169012</v>
      </c>
    </row>
    <row r="56" spans="1:9" ht="84">
      <c r="A56" s="86" t="s">
        <v>134</v>
      </c>
      <c r="B56" s="87" t="s">
        <v>135</v>
      </c>
      <c r="C56" s="88">
        <v>6.20041</v>
      </c>
      <c r="D56" s="88">
        <v>16</v>
      </c>
      <c r="E56" s="88">
        <v>26</v>
      </c>
      <c r="F56" s="88">
        <f t="shared" si="0"/>
        <v>162.5</v>
      </c>
      <c r="G56" s="88">
        <f>(C56+E56)/2</f>
        <v>16.100205</v>
      </c>
      <c r="H56" s="89">
        <f t="shared" si="1"/>
        <v>419.32710901375884</v>
      </c>
      <c r="I56" s="90">
        <f t="shared" si="2"/>
        <v>61.92386538461538</v>
      </c>
    </row>
    <row r="57" spans="1:9" ht="48">
      <c r="A57" s="86" t="s">
        <v>136</v>
      </c>
      <c r="B57" s="87" t="s">
        <v>137</v>
      </c>
      <c r="C57" s="88">
        <v>5.40814</v>
      </c>
      <c r="D57" s="88">
        <v>43.39</v>
      </c>
      <c r="E57" s="88">
        <v>10</v>
      </c>
      <c r="F57" s="88">
        <f t="shared" si="0"/>
        <v>23.046784973496198</v>
      </c>
      <c r="G57" s="88">
        <f aca="true" t="shared" si="3" ref="G57:G68">(C57+E57)/2</f>
        <v>7.70407</v>
      </c>
      <c r="H57" s="89">
        <f t="shared" si="1"/>
        <v>184.90645582399864</v>
      </c>
      <c r="I57" s="90">
        <f t="shared" si="2"/>
        <v>77.0407</v>
      </c>
    </row>
    <row r="58" spans="1:9" ht="63.75" customHeight="1">
      <c r="A58" s="86" t="s">
        <v>138</v>
      </c>
      <c r="B58" s="87" t="s">
        <v>139</v>
      </c>
      <c r="C58" s="88">
        <v>29.42172</v>
      </c>
      <c r="D58" s="88">
        <v>77</v>
      </c>
      <c r="E58" s="88">
        <v>20</v>
      </c>
      <c r="F58" s="88">
        <f t="shared" si="0"/>
        <v>25.97402597402597</v>
      </c>
      <c r="G58" s="88">
        <f t="shared" si="3"/>
        <v>24.71086</v>
      </c>
      <c r="H58" s="89">
        <f t="shared" si="1"/>
        <v>67.97699114803622</v>
      </c>
      <c r="I58" s="90">
        <f t="shared" si="2"/>
        <v>123.55430000000001</v>
      </c>
    </row>
    <row r="59" spans="1:9" ht="48">
      <c r="A59" s="86" t="s">
        <v>140</v>
      </c>
      <c r="B59" s="87" t="s">
        <v>141</v>
      </c>
      <c r="C59" s="88">
        <v>3.04</v>
      </c>
      <c r="D59" s="88">
        <v>38</v>
      </c>
      <c r="E59" s="88">
        <v>5</v>
      </c>
      <c r="F59" s="88">
        <f t="shared" si="0"/>
        <v>13.157894736842104</v>
      </c>
      <c r="G59" s="88">
        <f t="shared" si="3"/>
        <v>4.02</v>
      </c>
      <c r="H59" s="89">
        <f t="shared" si="1"/>
        <v>164.4736842105263</v>
      </c>
      <c r="I59" s="90">
        <f t="shared" si="2"/>
        <v>80.39999999999999</v>
      </c>
    </row>
    <row r="60" spans="1:9" ht="36">
      <c r="A60" s="86" t="s">
        <v>353</v>
      </c>
      <c r="B60" s="87" t="s">
        <v>225</v>
      </c>
      <c r="C60" s="88">
        <v>2.5</v>
      </c>
      <c r="D60" s="88"/>
      <c r="E60" s="88">
        <v>1</v>
      </c>
      <c r="F60" s="88" t="e">
        <f t="shared" si="0"/>
        <v>#DIV/0!</v>
      </c>
      <c r="G60" s="88">
        <f t="shared" si="3"/>
        <v>1.75</v>
      </c>
      <c r="H60" s="89">
        <f t="shared" si="1"/>
        <v>40</v>
      </c>
      <c r="I60" s="90">
        <f t="shared" si="2"/>
        <v>175</v>
      </c>
    </row>
    <row r="61" spans="1:9" ht="24">
      <c r="A61" s="86" t="s">
        <v>144</v>
      </c>
      <c r="B61" s="87" t="s">
        <v>145</v>
      </c>
      <c r="C61" s="88">
        <v>0.5</v>
      </c>
      <c r="D61" s="88">
        <v>40</v>
      </c>
      <c r="E61" s="88"/>
      <c r="F61" s="88">
        <f t="shared" si="0"/>
        <v>0</v>
      </c>
      <c r="G61" s="88">
        <f t="shared" si="3"/>
        <v>0.25</v>
      </c>
      <c r="H61" s="89">
        <f t="shared" si="1"/>
        <v>0</v>
      </c>
      <c r="I61" s="90"/>
    </row>
    <row r="62" spans="1:9" ht="24">
      <c r="A62" s="86" t="s">
        <v>354</v>
      </c>
      <c r="B62" s="87" t="s">
        <v>215</v>
      </c>
      <c r="C62" s="88">
        <v>0.5</v>
      </c>
      <c r="D62" s="88"/>
      <c r="E62" s="88">
        <v>0.5</v>
      </c>
      <c r="F62" s="88" t="e">
        <f t="shared" si="0"/>
        <v>#DIV/0!</v>
      </c>
      <c r="G62" s="88">
        <f t="shared" si="3"/>
        <v>0.5</v>
      </c>
      <c r="H62" s="89">
        <f t="shared" si="1"/>
        <v>100</v>
      </c>
      <c r="I62" s="90">
        <f t="shared" si="2"/>
        <v>100</v>
      </c>
    </row>
    <row r="63" spans="1:9" ht="24">
      <c r="A63" s="86" t="s">
        <v>146</v>
      </c>
      <c r="B63" s="87" t="s">
        <v>147</v>
      </c>
      <c r="C63" s="88">
        <v>34.1</v>
      </c>
      <c r="D63" s="88">
        <v>17.95</v>
      </c>
      <c r="E63" s="88">
        <v>36</v>
      </c>
      <c r="F63" s="88">
        <f t="shared" si="0"/>
        <v>200.55710306406684</v>
      </c>
      <c r="G63" s="88">
        <f t="shared" si="3"/>
        <v>35.05</v>
      </c>
      <c r="H63" s="89">
        <f t="shared" si="1"/>
        <v>105.57184750733137</v>
      </c>
      <c r="I63" s="90">
        <f t="shared" si="2"/>
        <v>97.3611111111111</v>
      </c>
    </row>
    <row r="64" spans="1:9" ht="48">
      <c r="A64" s="86" t="s">
        <v>148</v>
      </c>
      <c r="B64" s="87" t="s">
        <v>149</v>
      </c>
      <c r="C64" s="88">
        <v>432.66041</v>
      </c>
      <c r="D64" s="88">
        <v>366.81</v>
      </c>
      <c r="E64" s="88">
        <v>385</v>
      </c>
      <c r="F64" s="88">
        <f t="shared" si="0"/>
        <v>104.95897058422617</v>
      </c>
      <c r="G64" s="88">
        <f t="shared" si="3"/>
        <v>408.830205</v>
      </c>
      <c r="H64" s="89">
        <f t="shared" si="1"/>
        <v>88.98433762405024</v>
      </c>
      <c r="I64" s="90">
        <f t="shared" si="2"/>
        <v>106.18966363636363</v>
      </c>
    </row>
    <row r="65" spans="1:9" ht="24">
      <c r="A65" s="86" t="s">
        <v>352</v>
      </c>
      <c r="B65" s="87" t="s">
        <v>226</v>
      </c>
      <c r="C65" s="88"/>
      <c r="D65" s="88"/>
      <c r="E65" s="88">
        <v>6.5</v>
      </c>
      <c r="F65" s="88"/>
      <c r="G65" s="88"/>
      <c r="H65" s="89"/>
      <c r="I65" s="90"/>
    </row>
    <row r="66" spans="1:9" ht="48">
      <c r="A66" s="86" t="s">
        <v>150</v>
      </c>
      <c r="B66" s="87" t="s">
        <v>151</v>
      </c>
      <c r="C66" s="88">
        <v>0</v>
      </c>
      <c r="D66" s="88">
        <v>32</v>
      </c>
      <c r="E66" s="88"/>
      <c r="F66" s="88">
        <f>E66/D66*100</f>
        <v>0</v>
      </c>
      <c r="G66" s="88">
        <f t="shared" si="3"/>
        <v>0</v>
      </c>
      <c r="H66" s="89"/>
      <c r="I66" s="90"/>
    </row>
    <row r="67" spans="1:9" ht="60">
      <c r="A67" s="86" t="s">
        <v>142</v>
      </c>
      <c r="B67" s="87" t="s">
        <v>143</v>
      </c>
      <c r="C67" s="88">
        <v>403.75228</v>
      </c>
      <c r="D67" s="88">
        <v>30</v>
      </c>
      <c r="E67" s="88">
        <v>285</v>
      </c>
      <c r="F67" s="88">
        <f t="shared" si="0"/>
        <v>950</v>
      </c>
      <c r="G67" s="88">
        <f>(C67+E67)/2+0.01</f>
        <v>344.38613999999995</v>
      </c>
      <c r="H67" s="89">
        <f t="shared" si="1"/>
        <v>70.58783668045169</v>
      </c>
      <c r="I67" s="90">
        <f t="shared" si="2"/>
        <v>120.83724210526314</v>
      </c>
    </row>
    <row r="68" spans="1:9" ht="36">
      <c r="A68" s="86" t="s">
        <v>152</v>
      </c>
      <c r="B68" s="87" t="s">
        <v>153</v>
      </c>
      <c r="C68" s="88">
        <v>986.59341</v>
      </c>
      <c r="D68" s="88">
        <v>1091.36</v>
      </c>
      <c r="E68" s="88">
        <v>1000</v>
      </c>
      <c r="F68" s="88">
        <f t="shared" si="0"/>
        <v>91.6287934320481</v>
      </c>
      <c r="G68" s="88">
        <f t="shared" si="3"/>
        <v>993.296705</v>
      </c>
      <c r="H68" s="89">
        <f t="shared" si="1"/>
        <v>101.35887690553295</v>
      </c>
      <c r="I68" s="90">
        <f t="shared" si="2"/>
        <v>99.3296705</v>
      </c>
    </row>
    <row r="69" spans="1:9" ht="12">
      <c r="A69" s="86" t="s">
        <v>154</v>
      </c>
      <c r="B69" s="87" t="s">
        <v>155</v>
      </c>
      <c r="C69" s="88">
        <v>784.96385</v>
      </c>
      <c r="D69" s="88"/>
      <c r="E69" s="88">
        <v>74</v>
      </c>
      <c r="F69" s="88" t="e">
        <f t="shared" si="0"/>
        <v>#DIV/0!</v>
      </c>
      <c r="G69" s="88"/>
      <c r="H69" s="89">
        <f t="shared" si="1"/>
        <v>9.42718572326611</v>
      </c>
      <c r="I69" s="90">
        <f t="shared" si="2"/>
        <v>0</v>
      </c>
    </row>
    <row r="70" spans="1:12" ht="12">
      <c r="A70" s="86" t="s">
        <v>156</v>
      </c>
      <c r="B70" s="87" t="s">
        <v>157</v>
      </c>
      <c r="C70" s="88">
        <f>C71+C130+C131+C129</f>
        <v>571029.4010600002</v>
      </c>
      <c r="D70" s="88">
        <f>D71+D130+D131+D129</f>
        <v>299631.56138</v>
      </c>
      <c r="E70" s="88">
        <f>E71+E130+E131+E129</f>
        <v>299631.56138</v>
      </c>
      <c r="F70" s="88">
        <f t="shared" si="0"/>
        <v>100</v>
      </c>
      <c r="G70" s="88">
        <f>G71+G130+G131+G129</f>
        <v>282392.7</v>
      </c>
      <c r="H70" s="89">
        <f t="shared" si="1"/>
        <v>52.472177583815274</v>
      </c>
      <c r="I70" s="90">
        <f t="shared" si="2"/>
        <v>94.24664701521971</v>
      </c>
      <c r="J70" s="91"/>
      <c r="K70" s="91"/>
      <c r="L70" s="91"/>
    </row>
    <row r="71" spans="1:12" ht="36">
      <c r="A71" s="86" t="s">
        <v>158</v>
      </c>
      <c r="B71" s="87" t="s">
        <v>159</v>
      </c>
      <c r="C71" s="88">
        <f>C72+C79+C103+C125</f>
        <v>570869.79436</v>
      </c>
      <c r="D71" s="88">
        <f>D72+D79+D103+D125</f>
        <v>308896.54120000004</v>
      </c>
      <c r="E71" s="88">
        <f>E72+E79+E103+E125</f>
        <v>308896.54120000004</v>
      </c>
      <c r="F71" s="88">
        <f t="shared" si="0"/>
        <v>100</v>
      </c>
      <c r="G71" s="88">
        <f>G72+G79+G103+G125</f>
        <v>282392.7</v>
      </c>
      <c r="H71" s="89">
        <f t="shared" si="1"/>
        <v>54.109806518367776</v>
      </c>
      <c r="I71" s="90">
        <f t="shared" si="2"/>
        <v>91.41983231763035</v>
      </c>
      <c r="J71" s="91"/>
      <c r="K71" s="91"/>
      <c r="L71" s="91"/>
    </row>
    <row r="72" spans="1:9" ht="24">
      <c r="A72" s="86" t="s">
        <v>160</v>
      </c>
      <c r="B72" s="87" t="s">
        <v>161</v>
      </c>
      <c r="C72" s="88">
        <f>C73+C77</f>
        <v>91073.1</v>
      </c>
      <c r="D72" s="88">
        <f>D73+D77+D78</f>
        <v>115117.82900000001</v>
      </c>
      <c r="E72" s="88">
        <f>E73+E77+E78</f>
        <v>115117.82900000001</v>
      </c>
      <c r="F72" s="88">
        <f t="shared" si="0"/>
        <v>100</v>
      </c>
      <c r="G72" s="88">
        <f>G73+G77</f>
        <v>102973.9</v>
      </c>
      <c r="H72" s="89">
        <f t="shared" si="1"/>
        <v>126.40157082607269</v>
      </c>
      <c r="I72" s="90">
        <f t="shared" si="2"/>
        <v>89.4508703773418</v>
      </c>
    </row>
    <row r="73" spans="1:9" ht="12" hidden="1">
      <c r="A73" s="86" t="s">
        <v>162</v>
      </c>
      <c r="B73" s="87" t="s">
        <v>163</v>
      </c>
      <c r="C73" s="88">
        <f>C74</f>
        <v>72729.6</v>
      </c>
      <c r="D73" s="88">
        <f>D74</f>
        <v>104253.69</v>
      </c>
      <c r="E73" s="88">
        <f>E74</f>
        <v>104253.69</v>
      </c>
      <c r="F73" s="88">
        <f t="shared" si="0"/>
        <v>100</v>
      </c>
      <c r="G73" s="88">
        <f>G74</f>
        <v>102973.9</v>
      </c>
      <c r="H73" s="89">
        <f t="shared" si="1"/>
        <v>143.3442367344245</v>
      </c>
      <c r="I73" s="90">
        <f t="shared" si="2"/>
        <v>98.7724271438258</v>
      </c>
    </row>
    <row r="74" spans="1:9" ht="24">
      <c r="A74" s="86" t="s">
        <v>164</v>
      </c>
      <c r="B74" s="87" t="s">
        <v>165</v>
      </c>
      <c r="C74" s="88">
        <f>SUM(C75:C76)</f>
        <v>72729.6</v>
      </c>
      <c r="D74" s="88">
        <f>SUM(D75:D76)</f>
        <v>104253.69</v>
      </c>
      <c r="E74" s="88">
        <f>SUM(E75:E76)</f>
        <v>104253.69</v>
      </c>
      <c r="F74" s="88">
        <f t="shared" si="0"/>
        <v>100</v>
      </c>
      <c r="G74" s="88">
        <f>SUM(G75:G76)</f>
        <v>102973.9</v>
      </c>
      <c r="H74" s="89">
        <f t="shared" si="1"/>
        <v>143.3442367344245</v>
      </c>
      <c r="I74" s="90">
        <f t="shared" si="2"/>
        <v>98.7724271438258</v>
      </c>
    </row>
    <row r="75" spans="1:9" ht="12">
      <c r="A75" s="92" t="s">
        <v>166</v>
      </c>
      <c r="B75" s="87"/>
      <c r="C75" s="88">
        <v>63420.6</v>
      </c>
      <c r="D75" s="88">
        <v>104253.69</v>
      </c>
      <c r="E75" s="88">
        <v>104253.69</v>
      </c>
      <c r="F75" s="88">
        <f t="shared" si="0"/>
        <v>100</v>
      </c>
      <c r="G75" s="88">
        <v>102973.9</v>
      </c>
      <c r="H75" s="89">
        <f t="shared" si="1"/>
        <v>164.38458481944355</v>
      </c>
      <c r="I75" s="90">
        <f t="shared" si="2"/>
        <v>98.7724271438258</v>
      </c>
    </row>
    <row r="76" spans="1:9" ht="12">
      <c r="A76" s="92" t="s">
        <v>167</v>
      </c>
      <c r="B76" s="87"/>
      <c r="C76" s="88">
        <v>9309</v>
      </c>
      <c r="D76" s="88"/>
      <c r="E76" s="88"/>
      <c r="F76" s="88"/>
      <c r="G76" s="88"/>
      <c r="H76" s="89">
        <f t="shared" si="1"/>
        <v>0</v>
      </c>
      <c r="I76" s="90"/>
    </row>
    <row r="77" spans="1:9" ht="24">
      <c r="A77" s="86" t="s">
        <v>168</v>
      </c>
      <c r="B77" s="87" t="s">
        <v>169</v>
      </c>
      <c r="C77" s="88">
        <v>18343.5</v>
      </c>
      <c r="D77" s="88">
        <v>10507.1</v>
      </c>
      <c r="E77" s="88">
        <v>10507.1</v>
      </c>
      <c r="F77" s="88">
        <f aca="true" t="shared" si="4" ref="F77:F131">E77/D77*100</f>
        <v>100</v>
      </c>
      <c r="G77" s="88"/>
      <c r="H77" s="89">
        <f aca="true" t="shared" si="5" ref="H77:H86">E77/C77*100</f>
        <v>57.27969035353122</v>
      </c>
      <c r="I77" s="90">
        <f aca="true" t="shared" si="6" ref="I77:I86">G77/E77*100</f>
        <v>0</v>
      </c>
    </row>
    <row r="78" spans="1:9" ht="36">
      <c r="A78" s="86" t="s">
        <v>351</v>
      </c>
      <c r="B78" s="87" t="s">
        <v>227</v>
      </c>
      <c r="C78" s="88"/>
      <c r="D78" s="88">
        <v>357.039</v>
      </c>
      <c r="E78" s="88">
        <v>357.039</v>
      </c>
      <c r="F78" s="88"/>
      <c r="G78" s="88"/>
      <c r="H78" s="89"/>
      <c r="I78" s="90">
        <f t="shared" si="6"/>
        <v>0</v>
      </c>
    </row>
    <row r="79" spans="1:9" ht="24">
      <c r="A79" s="86" t="s">
        <v>170</v>
      </c>
      <c r="B79" s="87" t="s">
        <v>171</v>
      </c>
      <c r="C79" s="88">
        <f>SUM(C80:C87)</f>
        <v>155746.25561</v>
      </c>
      <c r="D79" s="88">
        <f>SUM(D80:D87)</f>
        <v>21899.732200000002</v>
      </c>
      <c r="E79" s="88">
        <f>SUM(E80:E87)</f>
        <v>21899.732200000002</v>
      </c>
      <c r="F79" s="88">
        <f t="shared" si="4"/>
        <v>100</v>
      </c>
      <c r="G79" s="88">
        <f>SUM(G80:G87)</f>
        <v>6065</v>
      </c>
      <c r="H79" s="89">
        <f t="shared" si="5"/>
        <v>14.0611612871378</v>
      </c>
      <c r="I79" s="90">
        <f t="shared" si="6"/>
        <v>27.694402582694593</v>
      </c>
    </row>
    <row r="80" spans="1:9" ht="48">
      <c r="A80" s="86" t="s">
        <v>172</v>
      </c>
      <c r="B80" s="87" t="s">
        <v>173</v>
      </c>
      <c r="C80" s="88">
        <v>1500</v>
      </c>
      <c r="D80" s="88"/>
      <c r="E80" s="88"/>
      <c r="F80" s="88" t="e">
        <f t="shared" si="4"/>
        <v>#DIV/0!</v>
      </c>
      <c r="G80" s="88"/>
      <c r="H80" s="89">
        <f t="shared" si="5"/>
        <v>0</v>
      </c>
      <c r="I80" s="90" t="e">
        <f t="shared" si="6"/>
        <v>#DIV/0!</v>
      </c>
    </row>
    <row r="81" spans="1:9" ht="24">
      <c r="A81" s="86" t="s">
        <v>174</v>
      </c>
      <c r="B81" s="87" t="s">
        <v>175</v>
      </c>
      <c r="C81" s="88"/>
      <c r="D81" s="88">
        <v>4666.5622</v>
      </c>
      <c r="E81" s="88">
        <v>4666.5622</v>
      </c>
      <c r="F81" s="88">
        <f t="shared" si="4"/>
        <v>100</v>
      </c>
      <c r="G81" s="88"/>
      <c r="H81" s="89" t="e">
        <f t="shared" si="5"/>
        <v>#DIV/0!</v>
      </c>
      <c r="I81" s="90">
        <f t="shared" si="6"/>
        <v>0</v>
      </c>
    </row>
    <row r="82" spans="1:9" ht="36">
      <c r="A82" s="86" t="s">
        <v>176</v>
      </c>
      <c r="B82" s="87" t="s">
        <v>177</v>
      </c>
      <c r="C82" s="88">
        <v>72016.73661</v>
      </c>
      <c r="D82" s="88">
        <v>2964</v>
      </c>
      <c r="E82" s="88">
        <v>2964</v>
      </c>
      <c r="F82" s="88">
        <f t="shared" si="4"/>
        <v>100</v>
      </c>
      <c r="G82" s="88"/>
      <c r="H82" s="89">
        <f t="shared" si="5"/>
        <v>4.115709957882802</v>
      </c>
      <c r="I82" s="90">
        <f t="shared" si="6"/>
        <v>0</v>
      </c>
    </row>
    <row r="83" spans="1:9" ht="36">
      <c r="A83" s="86" t="s">
        <v>178</v>
      </c>
      <c r="B83" s="87" t="s">
        <v>179</v>
      </c>
      <c r="C83" s="88">
        <v>3060.329</v>
      </c>
      <c r="D83" s="88"/>
      <c r="E83" s="88"/>
      <c r="F83" s="88" t="e">
        <f t="shared" si="4"/>
        <v>#DIV/0!</v>
      </c>
      <c r="G83" s="88">
        <v>1160.2</v>
      </c>
      <c r="H83" s="89">
        <f t="shared" si="5"/>
        <v>0</v>
      </c>
      <c r="I83" s="90" t="e">
        <f t="shared" si="6"/>
        <v>#DIV/0!</v>
      </c>
    </row>
    <row r="84" spans="1:9" ht="36">
      <c r="A84" s="86" t="s">
        <v>350</v>
      </c>
      <c r="B84" s="87" t="s">
        <v>216</v>
      </c>
      <c r="C84" s="88">
        <v>2399.99</v>
      </c>
      <c r="D84" s="88">
        <v>1800</v>
      </c>
      <c r="E84" s="88">
        <v>1800</v>
      </c>
      <c r="F84" s="88">
        <f t="shared" si="4"/>
        <v>100</v>
      </c>
      <c r="G84" s="88"/>
      <c r="H84" s="89">
        <f t="shared" si="5"/>
        <v>75.00031250130209</v>
      </c>
      <c r="I84" s="90">
        <f t="shared" si="6"/>
        <v>0</v>
      </c>
    </row>
    <row r="85" spans="1:9" ht="36">
      <c r="A85" s="86" t="s">
        <v>180</v>
      </c>
      <c r="B85" s="87" t="s">
        <v>181</v>
      </c>
      <c r="C85" s="88">
        <v>55009.2</v>
      </c>
      <c r="D85" s="88">
        <v>545.45</v>
      </c>
      <c r="E85" s="88">
        <v>545.45</v>
      </c>
      <c r="F85" s="88">
        <f t="shared" si="4"/>
        <v>100</v>
      </c>
      <c r="G85" s="88"/>
      <c r="H85" s="89">
        <f t="shared" si="5"/>
        <v>0.9915614115457052</v>
      </c>
      <c r="I85" s="90">
        <f t="shared" si="6"/>
        <v>0</v>
      </c>
    </row>
    <row r="86" spans="1:9" ht="48">
      <c r="A86" s="86" t="s">
        <v>349</v>
      </c>
      <c r="B86" s="87" t="s">
        <v>228</v>
      </c>
      <c r="C86" s="88">
        <v>747</v>
      </c>
      <c r="D86" s="88"/>
      <c r="E86" s="88"/>
      <c r="F86" s="88" t="e">
        <f t="shared" si="4"/>
        <v>#DIV/0!</v>
      </c>
      <c r="G86" s="88"/>
      <c r="H86" s="89">
        <f t="shared" si="5"/>
        <v>0</v>
      </c>
      <c r="I86" s="90" t="e">
        <f t="shared" si="6"/>
        <v>#DIV/0!</v>
      </c>
    </row>
    <row r="87" spans="1:9" ht="12">
      <c r="A87" s="86" t="s">
        <v>182</v>
      </c>
      <c r="B87" s="87" t="s">
        <v>183</v>
      </c>
      <c r="C87" s="88">
        <v>21013</v>
      </c>
      <c r="D87" s="88">
        <f>SUM(D88:D102)</f>
        <v>11923.720000000001</v>
      </c>
      <c r="E87" s="88">
        <f>SUM(E88:E102)</f>
        <v>11923.720000000001</v>
      </c>
      <c r="F87" s="88">
        <f t="shared" si="4"/>
        <v>100</v>
      </c>
      <c r="G87" s="88">
        <f>SUM(G88:G102)</f>
        <v>4904.8</v>
      </c>
      <c r="H87" s="89">
        <f aca="true" t="shared" si="7" ref="H87:H131">E87/C87*100</f>
        <v>56.74449150525865</v>
      </c>
      <c r="I87" s="90">
        <f aca="true" t="shared" si="8" ref="I87:I131">G87/E87*100</f>
        <v>41.134813631987335</v>
      </c>
    </row>
    <row r="88" spans="1:9" ht="48">
      <c r="A88" s="93" t="s">
        <v>343</v>
      </c>
      <c r="B88" s="87"/>
      <c r="C88" s="88">
        <v>19.8</v>
      </c>
      <c r="D88" s="88">
        <v>19.3</v>
      </c>
      <c r="E88" s="88">
        <v>19.3</v>
      </c>
      <c r="F88" s="88">
        <f>E88/D88*100</f>
        <v>100</v>
      </c>
      <c r="G88" s="88">
        <v>19.3</v>
      </c>
      <c r="H88" s="89">
        <f t="shared" si="7"/>
        <v>97.47474747474747</v>
      </c>
      <c r="I88" s="90">
        <f t="shared" si="8"/>
        <v>100</v>
      </c>
    </row>
    <row r="89" spans="1:9" ht="48">
      <c r="A89" s="93" t="s">
        <v>344</v>
      </c>
      <c r="B89" s="87"/>
      <c r="C89" s="88">
        <v>1454</v>
      </c>
      <c r="D89" s="88">
        <v>1419.5</v>
      </c>
      <c r="E89" s="88">
        <v>1419.5</v>
      </c>
      <c r="F89" s="88">
        <f t="shared" si="4"/>
        <v>100</v>
      </c>
      <c r="G89" s="88">
        <v>1419.5</v>
      </c>
      <c r="H89" s="89">
        <f t="shared" si="7"/>
        <v>97.62723521320495</v>
      </c>
      <c r="I89" s="90">
        <f t="shared" si="8"/>
        <v>100</v>
      </c>
    </row>
    <row r="90" spans="1:9" ht="72">
      <c r="A90" s="93" t="s">
        <v>359</v>
      </c>
      <c r="B90" s="87"/>
      <c r="C90" s="88">
        <v>947.3</v>
      </c>
      <c r="D90" s="88">
        <v>1721.3</v>
      </c>
      <c r="E90" s="88">
        <v>1721.3</v>
      </c>
      <c r="F90" s="88">
        <f t="shared" si="4"/>
        <v>100</v>
      </c>
      <c r="G90" s="88"/>
      <c r="H90" s="89">
        <f t="shared" si="7"/>
        <v>181.70590098173759</v>
      </c>
      <c r="I90" s="90">
        <f t="shared" si="8"/>
        <v>0</v>
      </c>
    </row>
    <row r="91" spans="1:9" ht="36">
      <c r="A91" s="93" t="s">
        <v>345</v>
      </c>
      <c r="B91" s="87"/>
      <c r="C91" s="88">
        <v>2067</v>
      </c>
      <c r="D91" s="88">
        <v>2369</v>
      </c>
      <c r="E91" s="88">
        <v>2369</v>
      </c>
      <c r="F91" s="88">
        <f t="shared" si="4"/>
        <v>100</v>
      </c>
      <c r="G91" s="88">
        <v>2369</v>
      </c>
      <c r="H91" s="89">
        <f t="shared" si="7"/>
        <v>114.61054668601838</v>
      </c>
      <c r="I91" s="90">
        <f t="shared" si="8"/>
        <v>100</v>
      </c>
    </row>
    <row r="92" spans="1:9" ht="48">
      <c r="A92" s="93" t="s">
        <v>346</v>
      </c>
      <c r="B92" s="94"/>
      <c r="C92" s="88">
        <v>440</v>
      </c>
      <c r="D92" s="88">
        <v>4.5</v>
      </c>
      <c r="E92" s="88">
        <v>4.5</v>
      </c>
      <c r="F92" s="88">
        <f t="shared" si="4"/>
        <v>100</v>
      </c>
      <c r="G92" s="88">
        <v>5</v>
      </c>
      <c r="H92" s="89">
        <f t="shared" si="7"/>
        <v>1.0227272727272727</v>
      </c>
      <c r="I92" s="90">
        <f t="shared" si="8"/>
        <v>111.11111111111111</v>
      </c>
    </row>
    <row r="93" spans="1:9" ht="36">
      <c r="A93" s="93" t="s">
        <v>360</v>
      </c>
      <c r="B93" s="94"/>
      <c r="C93" s="88"/>
      <c r="D93" s="88">
        <v>1569.1</v>
      </c>
      <c r="E93" s="88">
        <v>1569.1</v>
      </c>
      <c r="F93" s="88"/>
      <c r="G93" s="88"/>
      <c r="H93" s="89" t="e">
        <f t="shared" si="7"/>
        <v>#DIV/0!</v>
      </c>
      <c r="I93" s="90">
        <f t="shared" si="8"/>
        <v>0</v>
      </c>
    </row>
    <row r="94" spans="1:9" ht="36">
      <c r="A94" s="93" t="s">
        <v>347</v>
      </c>
      <c r="B94" s="94"/>
      <c r="C94" s="88">
        <v>1092</v>
      </c>
      <c r="D94" s="88">
        <v>1092</v>
      </c>
      <c r="E94" s="88">
        <v>1092</v>
      </c>
      <c r="F94" s="88"/>
      <c r="G94" s="88"/>
      <c r="H94" s="89">
        <f t="shared" si="7"/>
        <v>100</v>
      </c>
      <c r="I94" s="90">
        <f t="shared" si="8"/>
        <v>0</v>
      </c>
    </row>
    <row r="95" spans="1:9" ht="84">
      <c r="A95" s="93" t="s">
        <v>361</v>
      </c>
      <c r="B95" s="94"/>
      <c r="C95" s="88">
        <v>1517.6</v>
      </c>
      <c r="D95" s="88">
        <v>3491</v>
      </c>
      <c r="E95" s="88">
        <v>3491</v>
      </c>
      <c r="F95" s="88"/>
      <c r="G95" s="88"/>
      <c r="H95" s="89">
        <f t="shared" si="7"/>
        <v>230.03426462836057</v>
      </c>
      <c r="I95" s="90">
        <f t="shared" si="8"/>
        <v>0</v>
      </c>
    </row>
    <row r="96" spans="1:9" ht="84">
      <c r="A96" s="93" t="s">
        <v>357</v>
      </c>
      <c r="B96" s="94"/>
      <c r="C96" s="88"/>
      <c r="D96" s="88">
        <v>50</v>
      </c>
      <c r="E96" s="88">
        <v>50</v>
      </c>
      <c r="F96" s="88"/>
      <c r="G96" s="88"/>
      <c r="H96" s="89" t="e">
        <f t="shared" si="7"/>
        <v>#DIV/0!</v>
      </c>
      <c r="I96" s="90">
        <f t="shared" si="8"/>
        <v>0</v>
      </c>
    </row>
    <row r="97" spans="1:9" ht="72">
      <c r="A97" s="93" t="s">
        <v>358</v>
      </c>
      <c r="B97" s="94"/>
      <c r="C97" s="88"/>
      <c r="D97" s="88">
        <v>100</v>
      </c>
      <c r="E97" s="88">
        <v>100</v>
      </c>
      <c r="F97" s="88"/>
      <c r="G97" s="88"/>
      <c r="H97" s="89" t="e">
        <f t="shared" si="7"/>
        <v>#DIV/0!</v>
      </c>
      <c r="I97" s="90">
        <f t="shared" si="8"/>
        <v>0</v>
      </c>
    </row>
    <row r="98" spans="1:9" ht="48">
      <c r="A98" s="93" t="s">
        <v>365</v>
      </c>
      <c r="B98" s="94"/>
      <c r="C98" s="88">
        <v>10825.3</v>
      </c>
      <c r="D98" s="88"/>
      <c r="E98" s="88"/>
      <c r="F98" s="88"/>
      <c r="G98" s="88"/>
      <c r="H98" s="89"/>
      <c r="I98" s="90"/>
    </row>
    <row r="99" spans="1:9" ht="36">
      <c r="A99" s="93" t="s">
        <v>364</v>
      </c>
      <c r="B99" s="94"/>
      <c r="C99" s="88">
        <v>1200</v>
      </c>
      <c r="D99" s="88"/>
      <c r="E99" s="88"/>
      <c r="F99" s="88"/>
      <c r="G99" s="88"/>
      <c r="H99" s="89"/>
      <c r="I99" s="90"/>
    </row>
    <row r="100" spans="1:9" ht="36">
      <c r="A100" s="93" t="s">
        <v>363</v>
      </c>
      <c r="B100" s="94"/>
      <c r="C100" s="88">
        <v>1200</v>
      </c>
      <c r="D100" s="88"/>
      <c r="E100" s="88"/>
      <c r="F100" s="88"/>
      <c r="G100" s="88"/>
      <c r="H100" s="89"/>
      <c r="I100" s="90"/>
    </row>
    <row r="101" spans="1:9" ht="24">
      <c r="A101" s="93" t="s">
        <v>362</v>
      </c>
      <c r="B101" s="94"/>
      <c r="C101" s="88">
        <v>150</v>
      </c>
      <c r="D101" s="88"/>
      <c r="E101" s="88"/>
      <c r="F101" s="88"/>
      <c r="G101" s="88"/>
      <c r="H101" s="89"/>
      <c r="I101" s="90"/>
    </row>
    <row r="102" spans="1:9" ht="72">
      <c r="A102" s="93" t="s">
        <v>356</v>
      </c>
      <c r="B102" s="94"/>
      <c r="C102" s="95"/>
      <c r="D102" s="203">
        <v>88.02</v>
      </c>
      <c r="E102" s="203">
        <v>88.02</v>
      </c>
      <c r="F102" s="88">
        <f t="shared" si="4"/>
        <v>100</v>
      </c>
      <c r="G102" s="88">
        <v>1092</v>
      </c>
      <c r="H102" s="89" t="e">
        <f t="shared" si="7"/>
        <v>#DIV/0!</v>
      </c>
      <c r="I102" s="90">
        <f t="shared" si="8"/>
        <v>1240.6271301976824</v>
      </c>
    </row>
    <row r="103" spans="1:11" ht="24">
      <c r="A103" s="86" t="s">
        <v>184</v>
      </c>
      <c r="B103" s="87" t="s">
        <v>185</v>
      </c>
      <c r="C103" s="88">
        <f>SUM(C104:C106)+C120+C123</f>
        <v>169465.185</v>
      </c>
      <c r="D103" s="88">
        <f>SUM(D105:D106)+D120+D123</f>
        <v>171728.11000000002</v>
      </c>
      <c r="E103" s="88">
        <f>SUM(E105:E106)+E120+E123</f>
        <v>171728.11000000002</v>
      </c>
      <c r="F103" s="88">
        <f t="shared" si="4"/>
        <v>100</v>
      </c>
      <c r="G103" s="88">
        <f>SUM(G104:G106)+G120+G123+G124</f>
        <v>173263.80000000002</v>
      </c>
      <c r="H103" s="89">
        <f t="shared" si="7"/>
        <v>101.33533327214084</v>
      </c>
      <c r="I103" s="90">
        <f t="shared" si="8"/>
        <v>100.89425662461433</v>
      </c>
      <c r="K103" s="91"/>
    </row>
    <row r="104" spans="1:9" ht="36">
      <c r="A104" s="86" t="s">
        <v>341</v>
      </c>
      <c r="B104" s="87" t="s">
        <v>342</v>
      </c>
      <c r="C104" s="88"/>
      <c r="D104" s="88"/>
      <c r="E104" s="88"/>
      <c r="F104" s="88"/>
      <c r="G104" s="88">
        <v>17.3</v>
      </c>
      <c r="H104" s="89" t="e">
        <f t="shared" si="7"/>
        <v>#DIV/0!</v>
      </c>
      <c r="I104" s="90" t="e">
        <f t="shared" si="8"/>
        <v>#DIV/0!</v>
      </c>
    </row>
    <row r="105" spans="1:9" ht="36">
      <c r="A105" s="86" t="s">
        <v>186</v>
      </c>
      <c r="B105" s="87" t="s">
        <v>187</v>
      </c>
      <c r="C105" s="88">
        <v>529.9</v>
      </c>
      <c r="D105" s="88">
        <v>465.2</v>
      </c>
      <c r="E105" s="88">
        <v>465.2</v>
      </c>
      <c r="F105" s="88">
        <f t="shared" si="4"/>
        <v>100</v>
      </c>
      <c r="G105" s="88">
        <v>495.8</v>
      </c>
      <c r="H105" s="89">
        <f t="shared" si="7"/>
        <v>87.79014908473297</v>
      </c>
      <c r="I105" s="90">
        <f t="shared" si="8"/>
        <v>106.57781599312123</v>
      </c>
    </row>
    <row r="106" spans="1:9" ht="24">
      <c r="A106" s="86" t="s">
        <v>188</v>
      </c>
      <c r="B106" s="87" t="s">
        <v>189</v>
      </c>
      <c r="C106" s="88">
        <f>SUM(C107:C119)</f>
        <v>166920.30000000002</v>
      </c>
      <c r="D106" s="88">
        <f>SUM(D107:D119)</f>
        <v>168648.30000000002</v>
      </c>
      <c r="E106" s="88">
        <f>SUM(E107:E119)</f>
        <v>168648.30000000002</v>
      </c>
      <c r="F106" s="88">
        <f t="shared" si="4"/>
        <v>100</v>
      </c>
      <c r="G106" s="88">
        <f>SUM(G107:G119)</f>
        <v>169538.4</v>
      </c>
      <c r="H106" s="89">
        <f t="shared" si="7"/>
        <v>101.03522459521102</v>
      </c>
      <c r="I106" s="90">
        <f t="shared" si="8"/>
        <v>100.5277847449396</v>
      </c>
    </row>
    <row r="107" spans="1:9" ht="72">
      <c r="A107" s="93" t="s">
        <v>326</v>
      </c>
      <c r="B107" s="87"/>
      <c r="C107" s="88"/>
      <c r="D107" s="88">
        <v>4630</v>
      </c>
      <c r="E107" s="88">
        <v>4630</v>
      </c>
      <c r="F107" s="88">
        <f t="shared" si="4"/>
        <v>100</v>
      </c>
      <c r="G107" s="88">
        <v>5909.8</v>
      </c>
      <c r="H107" s="89" t="e">
        <f t="shared" si="7"/>
        <v>#DIV/0!</v>
      </c>
      <c r="I107" s="90">
        <f t="shared" si="8"/>
        <v>127.6414686825054</v>
      </c>
    </row>
    <row r="108" spans="1:9" ht="72">
      <c r="A108" s="93" t="s">
        <v>327</v>
      </c>
      <c r="B108" s="87"/>
      <c r="C108" s="88"/>
      <c r="D108" s="88">
        <v>151</v>
      </c>
      <c r="E108" s="88">
        <v>151</v>
      </c>
      <c r="F108" s="88">
        <f t="shared" si="4"/>
        <v>100</v>
      </c>
      <c r="G108" s="88">
        <v>278.7</v>
      </c>
      <c r="H108" s="89" t="e">
        <f t="shared" si="7"/>
        <v>#DIV/0!</v>
      </c>
      <c r="I108" s="90">
        <f t="shared" si="8"/>
        <v>184.56953642384107</v>
      </c>
    </row>
    <row r="109" spans="1:9" ht="72">
      <c r="A109" s="93" t="s">
        <v>328</v>
      </c>
      <c r="B109" s="87"/>
      <c r="C109" s="88">
        <v>0.7</v>
      </c>
      <c r="D109" s="88">
        <v>0.6</v>
      </c>
      <c r="E109" s="88">
        <v>0.6</v>
      </c>
      <c r="F109" s="88">
        <f t="shared" si="4"/>
        <v>100</v>
      </c>
      <c r="G109" s="88">
        <v>0.6</v>
      </c>
      <c r="H109" s="89">
        <f t="shared" si="7"/>
        <v>85.71428571428572</v>
      </c>
      <c r="I109" s="90">
        <f t="shared" si="8"/>
        <v>100</v>
      </c>
    </row>
    <row r="110" spans="1:9" ht="60">
      <c r="A110" s="93" t="s">
        <v>329</v>
      </c>
      <c r="B110" s="87"/>
      <c r="C110" s="88">
        <v>1979.7</v>
      </c>
      <c r="D110" s="88">
        <v>1632</v>
      </c>
      <c r="E110" s="88">
        <v>1632</v>
      </c>
      <c r="F110" s="88">
        <f t="shared" si="4"/>
        <v>100</v>
      </c>
      <c r="G110" s="88">
        <v>1549</v>
      </c>
      <c r="H110" s="89">
        <f t="shared" si="7"/>
        <v>82.43673283830884</v>
      </c>
      <c r="I110" s="90">
        <f t="shared" si="8"/>
        <v>94.9142156862745</v>
      </c>
    </row>
    <row r="111" spans="1:9" ht="120">
      <c r="A111" s="93" t="s">
        <v>330</v>
      </c>
      <c r="B111" s="87"/>
      <c r="C111" s="88">
        <v>163278.4</v>
      </c>
      <c r="D111" s="88">
        <v>159811.3</v>
      </c>
      <c r="E111" s="88">
        <v>159811.3</v>
      </c>
      <c r="F111" s="88">
        <f t="shared" si="4"/>
        <v>100</v>
      </c>
      <c r="G111" s="88">
        <v>159811.3</v>
      </c>
      <c r="H111" s="89">
        <f t="shared" si="7"/>
        <v>97.87657154896176</v>
      </c>
      <c r="I111" s="90">
        <f t="shared" si="8"/>
        <v>100</v>
      </c>
    </row>
    <row r="112" spans="1:9" ht="36">
      <c r="A112" s="93" t="s">
        <v>331</v>
      </c>
      <c r="B112" s="87"/>
      <c r="C112" s="88">
        <v>617.2</v>
      </c>
      <c r="D112" s="88">
        <v>634.6</v>
      </c>
      <c r="E112" s="88">
        <v>634.6</v>
      </c>
      <c r="F112" s="88">
        <f t="shared" si="4"/>
        <v>100</v>
      </c>
      <c r="G112" s="88">
        <v>634.6</v>
      </c>
      <c r="H112" s="89">
        <f t="shared" si="7"/>
        <v>102.8191834089436</v>
      </c>
      <c r="I112" s="90">
        <f t="shared" si="8"/>
        <v>100</v>
      </c>
    </row>
    <row r="113" spans="1:9" s="96" customFormat="1" ht="48">
      <c r="A113" s="93" t="s">
        <v>332</v>
      </c>
      <c r="B113" s="87"/>
      <c r="C113" s="88">
        <v>765</v>
      </c>
      <c r="D113" s="88">
        <v>753</v>
      </c>
      <c r="E113" s="88">
        <v>753</v>
      </c>
      <c r="F113" s="88">
        <f t="shared" si="4"/>
        <v>100</v>
      </c>
      <c r="G113" s="88">
        <v>753</v>
      </c>
      <c r="H113" s="89">
        <f t="shared" si="7"/>
        <v>98.4313725490196</v>
      </c>
      <c r="I113" s="90">
        <f t="shared" si="8"/>
        <v>100</v>
      </c>
    </row>
    <row r="114" spans="1:9" s="96" customFormat="1" ht="48">
      <c r="A114" s="93" t="s">
        <v>333</v>
      </c>
      <c r="B114" s="87"/>
      <c r="C114" s="88">
        <v>51</v>
      </c>
      <c r="D114" s="88">
        <v>53.1</v>
      </c>
      <c r="E114" s="88">
        <v>53.1</v>
      </c>
      <c r="F114" s="88">
        <f t="shared" si="4"/>
        <v>100</v>
      </c>
      <c r="G114" s="88">
        <v>52.4</v>
      </c>
      <c r="H114" s="89">
        <f t="shared" si="7"/>
        <v>104.11764705882354</v>
      </c>
      <c r="I114" s="90">
        <f t="shared" si="8"/>
        <v>98.68173258003766</v>
      </c>
    </row>
    <row r="115" spans="1:9" s="96" customFormat="1" ht="122.25" customHeight="1">
      <c r="A115" s="93" t="s">
        <v>334</v>
      </c>
      <c r="B115" s="87"/>
      <c r="C115" s="88">
        <v>222.7</v>
      </c>
      <c r="D115" s="88">
        <v>213.8</v>
      </c>
      <c r="E115" s="88">
        <v>213.8</v>
      </c>
      <c r="F115" s="88">
        <v>213.8</v>
      </c>
      <c r="G115" s="88">
        <v>184.3</v>
      </c>
      <c r="H115" s="89">
        <f t="shared" si="7"/>
        <v>96.0035922766053</v>
      </c>
      <c r="I115" s="90">
        <f t="shared" si="8"/>
        <v>86.20205799812909</v>
      </c>
    </row>
    <row r="116" spans="1:9" s="96" customFormat="1" ht="48">
      <c r="A116" s="93" t="s">
        <v>335</v>
      </c>
      <c r="B116" s="87"/>
      <c r="C116" s="88"/>
      <c r="D116" s="88">
        <v>500.6</v>
      </c>
      <c r="E116" s="88">
        <v>500.6</v>
      </c>
      <c r="F116" s="88">
        <f t="shared" si="4"/>
        <v>100</v>
      </c>
      <c r="G116" s="88">
        <v>223.1</v>
      </c>
      <c r="H116" s="89" t="e">
        <f t="shared" si="7"/>
        <v>#DIV/0!</v>
      </c>
      <c r="I116" s="90">
        <f t="shared" si="8"/>
        <v>44.56652017578905</v>
      </c>
    </row>
    <row r="117" spans="1:9" s="96" customFormat="1" ht="96">
      <c r="A117" s="93" t="s">
        <v>336</v>
      </c>
      <c r="B117" s="87"/>
      <c r="C117" s="88"/>
      <c r="D117" s="88">
        <v>215.2</v>
      </c>
      <c r="E117" s="88">
        <v>215.2</v>
      </c>
      <c r="F117" s="88">
        <f t="shared" si="4"/>
        <v>100</v>
      </c>
      <c r="G117" s="88">
        <v>88.6</v>
      </c>
      <c r="H117" s="89" t="e">
        <f t="shared" si="7"/>
        <v>#DIV/0!</v>
      </c>
      <c r="I117" s="90">
        <f t="shared" si="8"/>
        <v>41.17100371747212</v>
      </c>
    </row>
    <row r="118" spans="1:9" s="96" customFormat="1" ht="48">
      <c r="A118" s="93" t="s">
        <v>337</v>
      </c>
      <c r="B118" s="87"/>
      <c r="C118" s="88">
        <v>5.6</v>
      </c>
      <c r="D118" s="88">
        <v>0.1</v>
      </c>
      <c r="E118" s="88">
        <v>0.1</v>
      </c>
      <c r="F118" s="88">
        <f t="shared" si="4"/>
        <v>100</v>
      </c>
      <c r="G118" s="88">
        <v>0.1</v>
      </c>
      <c r="H118" s="89">
        <f t="shared" si="7"/>
        <v>1.785714285714286</v>
      </c>
      <c r="I118" s="90">
        <f t="shared" si="8"/>
        <v>100</v>
      </c>
    </row>
    <row r="119" spans="1:9" s="96" customFormat="1" ht="60">
      <c r="A119" s="93" t="s">
        <v>338</v>
      </c>
      <c r="B119" s="87"/>
      <c r="C119" s="88"/>
      <c r="D119" s="88">
        <v>53</v>
      </c>
      <c r="E119" s="88">
        <v>53</v>
      </c>
      <c r="F119" s="88">
        <f t="shared" si="4"/>
        <v>100</v>
      </c>
      <c r="G119" s="88">
        <v>52.9</v>
      </c>
      <c r="H119" s="89" t="e">
        <f t="shared" si="7"/>
        <v>#DIV/0!</v>
      </c>
      <c r="I119" s="90">
        <f t="shared" si="8"/>
        <v>99.81132075471699</v>
      </c>
    </row>
    <row r="120" spans="1:9" ht="60">
      <c r="A120" s="86" t="s">
        <v>190</v>
      </c>
      <c r="B120" s="87" t="s">
        <v>191</v>
      </c>
      <c r="C120" s="88">
        <v>1405.775</v>
      </c>
      <c r="D120" s="88">
        <v>2005.4</v>
      </c>
      <c r="E120" s="88">
        <v>2005.4</v>
      </c>
      <c r="F120" s="88">
        <f t="shared" si="4"/>
        <v>100</v>
      </c>
      <c r="G120" s="88">
        <v>1905.1</v>
      </c>
      <c r="H120" s="89">
        <f t="shared" si="7"/>
        <v>142.65440771104906</v>
      </c>
      <c r="I120" s="90">
        <f t="shared" si="8"/>
        <v>94.99850403909443</v>
      </c>
    </row>
    <row r="121" spans="1:9" ht="48" hidden="1">
      <c r="A121" s="86" t="s">
        <v>192</v>
      </c>
      <c r="B121" s="97" t="s">
        <v>193</v>
      </c>
      <c r="C121" s="98">
        <f>C122</f>
        <v>0</v>
      </c>
      <c r="D121" s="98"/>
      <c r="E121" s="98"/>
      <c r="F121" s="88" t="e">
        <f t="shared" si="4"/>
        <v>#DIV/0!</v>
      </c>
      <c r="G121" s="98">
        <f>G122</f>
        <v>0</v>
      </c>
      <c r="H121" s="89" t="e">
        <f t="shared" si="7"/>
        <v>#DIV/0!</v>
      </c>
      <c r="I121" s="90" t="e">
        <f t="shared" si="8"/>
        <v>#DIV/0!</v>
      </c>
    </row>
    <row r="122" spans="1:9" ht="48" hidden="1">
      <c r="A122" s="86" t="s">
        <v>194</v>
      </c>
      <c r="B122" s="97" t="s">
        <v>195</v>
      </c>
      <c r="C122" s="98"/>
      <c r="D122" s="98"/>
      <c r="E122" s="98"/>
      <c r="F122" s="88" t="e">
        <f t="shared" si="4"/>
        <v>#DIV/0!</v>
      </c>
      <c r="G122" s="98"/>
      <c r="H122" s="89" t="e">
        <f t="shared" si="7"/>
        <v>#DIV/0!</v>
      </c>
      <c r="I122" s="90" t="e">
        <f t="shared" si="8"/>
        <v>#DIV/0!</v>
      </c>
    </row>
    <row r="123" spans="1:9" ht="60">
      <c r="A123" s="86" t="s">
        <v>196</v>
      </c>
      <c r="B123" s="97" t="s">
        <v>197</v>
      </c>
      <c r="C123" s="88">
        <v>609.21</v>
      </c>
      <c r="D123" s="88">
        <v>609.21</v>
      </c>
      <c r="E123" s="88">
        <v>609.21</v>
      </c>
      <c r="F123" s="88">
        <f t="shared" si="4"/>
        <v>100</v>
      </c>
      <c r="G123" s="88">
        <v>609.2</v>
      </c>
      <c r="H123" s="89">
        <f t="shared" si="7"/>
        <v>100</v>
      </c>
      <c r="I123" s="90">
        <f t="shared" si="8"/>
        <v>99.99835852989938</v>
      </c>
    </row>
    <row r="124" spans="1:9" ht="36">
      <c r="A124" s="82" t="s">
        <v>339</v>
      </c>
      <c r="B124" s="77" t="s">
        <v>340</v>
      </c>
      <c r="C124" s="88"/>
      <c r="D124" s="88"/>
      <c r="E124" s="88"/>
      <c r="F124" s="88"/>
      <c r="G124" s="88">
        <v>698</v>
      </c>
      <c r="H124" s="89" t="e">
        <f t="shared" si="7"/>
        <v>#DIV/0!</v>
      </c>
      <c r="I124" s="90" t="e">
        <f t="shared" si="8"/>
        <v>#DIV/0!</v>
      </c>
    </row>
    <row r="125" spans="1:9" ht="12">
      <c r="A125" s="86" t="s">
        <v>198</v>
      </c>
      <c r="B125" s="97" t="s">
        <v>199</v>
      </c>
      <c r="C125" s="88">
        <f>SUM(C126:C128)</f>
        <v>154585.25375</v>
      </c>
      <c r="D125" s="88">
        <f>SUM(D126:D128)</f>
        <v>150.87</v>
      </c>
      <c r="E125" s="88">
        <f>SUM(E126:E128)</f>
        <v>150.87</v>
      </c>
      <c r="F125" s="88">
        <f t="shared" si="4"/>
        <v>100</v>
      </c>
      <c r="G125" s="98">
        <f>SUM(G126:G128)</f>
        <v>90</v>
      </c>
      <c r="H125" s="89">
        <f t="shared" si="7"/>
        <v>0.09759663120519346</v>
      </c>
      <c r="I125" s="90">
        <f t="shared" si="8"/>
        <v>59.654006760787425</v>
      </c>
    </row>
    <row r="126" spans="1:9" ht="60">
      <c r="A126" s="86" t="s">
        <v>200</v>
      </c>
      <c r="B126" s="86" t="s">
        <v>201</v>
      </c>
      <c r="C126" s="88">
        <v>90</v>
      </c>
      <c r="D126" s="88">
        <v>90</v>
      </c>
      <c r="E126" s="88">
        <v>90</v>
      </c>
      <c r="F126" s="88">
        <f t="shared" si="4"/>
        <v>100</v>
      </c>
      <c r="G126" s="98">
        <v>90</v>
      </c>
      <c r="H126" s="89">
        <f t="shared" si="7"/>
        <v>100</v>
      </c>
      <c r="I126" s="90">
        <f t="shared" si="8"/>
        <v>100</v>
      </c>
    </row>
    <row r="127" spans="1:9" ht="144">
      <c r="A127" s="86" t="s">
        <v>348</v>
      </c>
      <c r="B127" s="86" t="s">
        <v>217</v>
      </c>
      <c r="C127" s="88">
        <v>29314.024</v>
      </c>
      <c r="D127" s="88"/>
      <c r="E127" s="88"/>
      <c r="F127" s="88" t="e">
        <f t="shared" si="4"/>
        <v>#DIV/0!</v>
      </c>
      <c r="G127" s="98"/>
      <c r="H127" s="89">
        <f t="shared" si="7"/>
        <v>0</v>
      </c>
      <c r="I127" s="90" t="e">
        <f t="shared" si="8"/>
        <v>#DIV/0!</v>
      </c>
    </row>
    <row r="128" spans="1:9" ht="24">
      <c r="A128" s="86" t="s">
        <v>202</v>
      </c>
      <c r="B128" s="97" t="s">
        <v>203</v>
      </c>
      <c r="C128" s="88">
        <v>125181.22975</v>
      </c>
      <c r="D128" s="88">
        <v>60.87</v>
      </c>
      <c r="E128" s="88">
        <v>60.87</v>
      </c>
      <c r="F128" s="88">
        <f t="shared" si="4"/>
        <v>100</v>
      </c>
      <c r="G128" s="98"/>
      <c r="H128" s="89">
        <f t="shared" si="7"/>
        <v>0.04862550090102466</v>
      </c>
      <c r="I128" s="90">
        <f t="shared" si="8"/>
        <v>0</v>
      </c>
    </row>
    <row r="129" spans="1:9" ht="12">
      <c r="A129" s="86" t="s">
        <v>204</v>
      </c>
      <c r="B129" s="97" t="s">
        <v>205</v>
      </c>
      <c r="C129" s="88">
        <v>257.032</v>
      </c>
      <c r="D129" s="88">
        <v>60.87</v>
      </c>
      <c r="E129" s="88">
        <v>60.87</v>
      </c>
      <c r="F129" s="88">
        <f t="shared" si="4"/>
        <v>100</v>
      </c>
      <c r="G129" s="98"/>
      <c r="H129" s="89">
        <f t="shared" si="7"/>
        <v>23.681876186622677</v>
      </c>
      <c r="I129" s="90">
        <f t="shared" si="8"/>
        <v>0</v>
      </c>
    </row>
    <row r="130" spans="1:9" ht="84">
      <c r="A130" s="86" t="s">
        <v>206</v>
      </c>
      <c r="B130" s="97" t="s">
        <v>207</v>
      </c>
      <c r="C130" s="88">
        <v>0.58463</v>
      </c>
      <c r="D130" s="88">
        <v>1375.29411</v>
      </c>
      <c r="E130" s="88">
        <v>1375.29411</v>
      </c>
      <c r="F130" s="88">
        <f t="shared" si="4"/>
        <v>100</v>
      </c>
      <c r="G130" s="98"/>
      <c r="H130" s="89">
        <f t="shared" si="7"/>
        <v>235241.7956656347</v>
      </c>
      <c r="I130" s="90">
        <f t="shared" si="8"/>
        <v>0</v>
      </c>
    </row>
    <row r="131" spans="1:9" ht="36">
      <c r="A131" s="86" t="s">
        <v>208</v>
      </c>
      <c r="B131" s="97" t="s">
        <v>209</v>
      </c>
      <c r="C131" s="88">
        <v>-98.00993</v>
      </c>
      <c r="D131" s="88">
        <v>-10701.14393</v>
      </c>
      <c r="E131" s="88">
        <v>-10701.14393</v>
      </c>
      <c r="F131" s="88">
        <f t="shared" si="4"/>
        <v>100</v>
      </c>
      <c r="G131" s="98"/>
      <c r="H131" s="89">
        <f t="shared" si="7"/>
        <v>10918.428295990008</v>
      </c>
      <c r="I131" s="90">
        <f t="shared" si="8"/>
        <v>0</v>
      </c>
    </row>
    <row r="132" ht="12">
      <c r="G132" s="99"/>
    </row>
    <row r="133" spans="2:7" ht="12">
      <c r="B133" s="77" t="s">
        <v>210</v>
      </c>
      <c r="G133" s="99"/>
    </row>
    <row r="134" spans="6:8" ht="12">
      <c r="F134" s="100"/>
      <c r="G134" s="101">
        <f>448168.89748</f>
        <v>448168.89748</v>
      </c>
      <c r="H134" s="102"/>
    </row>
    <row r="135" spans="6:8" ht="12">
      <c r="F135" s="100"/>
      <c r="G135" s="101">
        <f>G12</f>
        <v>375072.5507758125</v>
      </c>
      <c r="H135" s="103"/>
    </row>
    <row r="136" spans="6:8" ht="12">
      <c r="F136" s="100"/>
      <c r="G136" s="101">
        <f>G135-G134</f>
        <v>-73096.34670418751</v>
      </c>
      <c r="H136" s="102"/>
    </row>
    <row r="137" spans="6:8" ht="12">
      <c r="F137" s="100"/>
      <c r="G137" s="100">
        <v>14634.88005</v>
      </c>
      <c r="H137" s="100"/>
    </row>
    <row r="138" spans="6:8" ht="12">
      <c r="F138" s="100"/>
      <c r="G138" s="101">
        <f>G136+G137</f>
        <v>-58461.46665418751</v>
      </c>
      <c r="H138" s="100"/>
    </row>
    <row r="139" spans="6:8" ht="12">
      <c r="F139" s="100"/>
      <c r="G139" s="100"/>
      <c r="H139" s="100"/>
    </row>
    <row r="140" spans="6:8" ht="12">
      <c r="F140" s="100"/>
      <c r="G140" s="100"/>
      <c r="H140" s="100"/>
    </row>
  </sheetData>
  <sheetProtection/>
  <mergeCells count="11">
    <mergeCell ref="F1:G1"/>
    <mergeCell ref="H1:I1"/>
    <mergeCell ref="H2:I2"/>
    <mergeCell ref="H3:I4"/>
    <mergeCell ref="A5:H6"/>
    <mergeCell ref="A9:A11"/>
    <mergeCell ref="B9:B11"/>
    <mergeCell ref="C9:C11"/>
    <mergeCell ref="G9:G11"/>
    <mergeCell ref="H9:I10"/>
    <mergeCell ref="D9:F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IV8"/>
    </sheetView>
  </sheetViews>
  <sheetFormatPr defaultColWidth="9.140625" defaultRowHeight="12.75"/>
  <sheetData>
    <row r="1" ht="15.75">
      <c r="A1" s="204" t="s">
        <v>453</v>
      </c>
    </row>
    <row r="2" ht="15.75">
      <c r="A2" s="204" t="s">
        <v>454</v>
      </c>
    </row>
    <row r="3" ht="15.75">
      <c r="A3" s="204" t="s">
        <v>455</v>
      </c>
    </row>
    <row r="4" ht="15.75">
      <c r="A4" s="204" t="s">
        <v>456</v>
      </c>
    </row>
    <row r="5" ht="15.75">
      <c r="A5" s="204" t="s">
        <v>457</v>
      </c>
    </row>
    <row r="6" ht="15">
      <c r="A6" s="208" t="s">
        <v>458</v>
      </c>
    </row>
    <row r="7" ht="15.75">
      <c r="A7" s="204" t="s">
        <v>457</v>
      </c>
    </row>
    <row r="8" ht="15.75">
      <c r="A8" s="204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zoomScaleSheetLayoutView="83" zoomScalePageLayoutView="0" workbookViewId="0" topLeftCell="A13">
      <selection activeCell="B19" sqref="B19"/>
    </sheetView>
  </sheetViews>
  <sheetFormatPr defaultColWidth="9.140625" defaultRowHeight="12.75"/>
  <cols>
    <col min="1" max="1" width="86.140625" style="1" customWidth="1"/>
    <col min="2" max="3" width="39.140625" style="1" customWidth="1"/>
    <col min="4" max="4" width="43.421875" style="1" customWidth="1"/>
    <col min="5" max="5" width="17.8515625" style="1" customWidth="1"/>
    <col min="6" max="16384" width="9.140625" style="1" customWidth="1"/>
  </cols>
  <sheetData>
    <row r="1" spans="1:4" ht="18.75">
      <c r="A1" s="2"/>
      <c r="B1" s="238" t="s">
        <v>24</v>
      </c>
      <c r="C1" s="238"/>
      <c r="D1" s="238"/>
    </row>
    <row r="2" spans="1:4" ht="18.75">
      <c r="A2" s="2"/>
      <c r="B2" s="238" t="s">
        <v>11</v>
      </c>
      <c r="C2" s="238"/>
      <c r="D2" s="238"/>
    </row>
    <row r="3" spans="1:4" ht="18.75">
      <c r="A3" s="2"/>
      <c r="B3" s="3"/>
      <c r="C3" s="3"/>
      <c r="D3" s="4" t="s">
        <v>22</v>
      </c>
    </row>
    <row r="4" spans="1:4" ht="18.75">
      <c r="A4" s="2"/>
      <c r="B4" s="3"/>
      <c r="C4" s="3"/>
      <c r="D4" s="4" t="s">
        <v>23</v>
      </c>
    </row>
    <row r="5" spans="1:4" ht="18.75">
      <c r="A5" s="2"/>
      <c r="B5" s="3"/>
      <c r="C5" s="3"/>
      <c r="D5" s="4" t="s">
        <v>25</v>
      </c>
    </row>
    <row r="6" spans="1:4" ht="18.75">
      <c r="A6" s="2"/>
      <c r="B6" s="3"/>
      <c r="C6" s="3"/>
      <c r="D6" s="4"/>
    </row>
    <row r="7" spans="1:5" ht="18.75" customHeight="1">
      <c r="A7" s="2"/>
      <c r="B7" s="5"/>
      <c r="C7" s="5"/>
      <c r="D7" s="5"/>
      <c r="E7" s="6"/>
    </row>
    <row r="8" spans="1:6" ht="23.25" customHeight="1">
      <c r="A8" s="239" t="s">
        <v>20</v>
      </c>
      <c r="B8" s="239"/>
      <c r="C8" s="239"/>
      <c r="D8" s="239"/>
      <c r="E8" s="7"/>
      <c r="F8" s="7"/>
    </row>
    <row r="9" spans="1:6" ht="12" customHeight="1" thickBot="1">
      <c r="A9" s="8"/>
      <c r="B9" s="8"/>
      <c r="C9" s="8"/>
      <c r="D9" s="8"/>
      <c r="E9" s="7"/>
      <c r="F9" s="7"/>
    </row>
    <row r="10" spans="1:6" ht="39" customHeight="1">
      <c r="A10" s="240" t="s">
        <v>0</v>
      </c>
      <c r="B10" s="242" t="s">
        <v>21</v>
      </c>
      <c r="C10" s="236"/>
      <c r="D10" s="237"/>
      <c r="E10" s="7"/>
      <c r="F10" s="7"/>
    </row>
    <row r="11" spans="1:6" ht="42.75" customHeight="1" thickBot="1">
      <c r="A11" s="241"/>
      <c r="B11" s="11" t="s">
        <v>17</v>
      </c>
      <c r="C11" s="12" t="s">
        <v>18</v>
      </c>
      <c r="D11" s="12" t="s">
        <v>19</v>
      </c>
      <c r="E11" s="7"/>
      <c r="F11" s="7"/>
    </row>
    <row r="12" spans="1:6" ht="54" customHeight="1">
      <c r="A12" s="243" t="s">
        <v>9</v>
      </c>
      <c r="B12" s="244"/>
      <c r="C12" s="244"/>
      <c r="D12" s="245"/>
      <c r="E12" s="7"/>
      <c r="F12" s="7"/>
    </row>
    <row r="13" spans="1:6" ht="61.5" customHeight="1">
      <c r="A13" s="13" t="s">
        <v>16</v>
      </c>
      <c r="B13" s="14">
        <v>621315.9</v>
      </c>
      <c r="C13" s="15" t="s">
        <v>5</v>
      </c>
      <c r="D13" s="15" t="s">
        <v>5</v>
      </c>
      <c r="E13" s="7"/>
      <c r="F13" s="7"/>
    </row>
    <row r="14" spans="1:6" ht="77.25" customHeight="1">
      <c r="A14" s="13" t="s">
        <v>4</v>
      </c>
      <c r="B14" s="14">
        <f>3503+4506+3655+2683+2445+38984+6517+728+2059+2218</f>
        <v>67298</v>
      </c>
      <c r="C14" s="15" t="s">
        <v>5</v>
      </c>
      <c r="D14" s="15" t="s">
        <v>5</v>
      </c>
      <c r="E14" s="7"/>
      <c r="F14" s="7"/>
    </row>
    <row r="15" spans="1:6" ht="53.25" customHeight="1">
      <c r="A15" s="13" t="s">
        <v>1</v>
      </c>
      <c r="B15" s="14">
        <f>B13-B14</f>
        <v>554017.9</v>
      </c>
      <c r="C15" s="15" t="s">
        <v>5</v>
      </c>
      <c r="D15" s="15" t="s">
        <v>5</v>
      </c>
      <c r="E15" s="9"/>
      <c r="F15" s="7"/>
    </row>
    <row r="16" spans="1:6" ht="49.5" customHeight="1">
      <c r="A16" s="13" t="s">
        <v>3</v>
      </c>
      <c r="B16" s="14">
        <f>B15*13%</f>
        <v>72022.327</v>
      </c>
      <c r="C16" s="16">
        <f>B16*53%</f>
        <v>38171.83331</v>
      </c>
      <c r="D16" s="15">
        <f>B16*2%</f>
        <v>1440.4465400000001</v>
      </c>
      <c r="E16" s="7"/>
      <c r="F16" s="7"/>
    </row>
    <row r="17" spans="1:6" ht="60" customHeight="1">
      <c r="A17" s="13" t="s">
        <v>13</v>
      </c>
      <c r="B17" s="14">
        <f>B16*98/100</f>
        <v>70581.88046</v>
      </c>
      <c r="C17" s="16">
        <f>B17*53%</f>
        <v>37408.3966438</v>
      </c>
      <c r="D17" s="15">
        <f>B17*2%</f>
        <v>1411.6376092</v>
      </c>
      <c r="E17" s="7"/>
      <c r="F17" s="7"/>
    </row>
    <row r="18" spans="1:6" ht="42" customHeight="1">
      <c r="A18" s="13" t="s">
        <v>2</v>
      </c>
      <c r="B18" s="14"/>
      <c r="C18" s="16">
        <f>B18*53%</f>
        <v>0</v>
      </c>
      <c r="D18" s="15">
        <f>B18*2%</f>
        <v>0</v>
      </c>
      <c r="E18" s="7"/>
      <c r="F18" s="7"/>
    </row>
    <row r="19" spans="1:6" ht="96" customHeight="1" thickBot="1">
      <c r="A19" s="17" t="s">
        <v>10</v>
      </c>
      <c r="B19" s="18">
        <f>B17+B18</f>
        <v>70581.88046</v>
      </c>
      <c r="C19" s="18">
        <f>C17+C18</f>
        <v>37408.3966438</v>
      </c>
      <c r="D19" s="18">
        <f>D17+D18</f>
        <v>1411.6376092</v>
      </c>
      <c r="E19" s="7"/>
      <c r="F19" s="7"/>
    </row>
    <row r="20" spans="1:6" ht="24" customHeight="1">
      <c r="A20" s="235" t="s">
        <v>7</v>
      </c>
      <c r="B20" s="236"/>
      <c r="C20" s="236"/>
      <c r="D20" s="237"/>
      <c r="E20" s="7"/>
      <c r="F20" s="7"/>
    </row>
    <row r="21" spans="1:6" ht="139.5" customHeight="1">
      <c r="A21" s="19" t="s">
        <v>14</v>
      </c>
      <c r="B21" s="14">
        <v>180</v>
      </c>
      <c r="C21" s="16">
        <f>B21*53%</f>
        <v>95.4</v>
      </c>
      <c r="D21" s="15">
        <f>B21*2%</f>
        <v>3.6</v>
      </c>
      <c r="E21" s="7"/>
      <c r="F21" s="7"/>
    </row>
    <row r="22" spans="1:6" ht="95.25" customHeight="1">
      <c r="A22" s="19" t="s">
        <v>12</v>
      </c>
      <c r="B22" s="14">
        <v>430</v>
      </c>
      <c r="C22" s="16">
        <f>B22*53%</f>
        <v>227.9</v>
      </c>
      <c r="D22" s="15">
        <f>B22*2%</f>
        <v>8.6</v>
      </c>
      <c r="E22" s="7"/>
      <c r="F22" s="7"/>
    </row>
    <row r="23" spans="1:6" ht="127.5" customHeight="1">
      <c r="A23" s="19" t="s">
        <v>15</v>
      </c>
      <c r="B23" s="14">
        <v>5</v>
      </c>
      <c r="C23" s="16">
        <f>B23*20%</f>
        <v>1</v>
      </c>
      <c r="D23" s="15"/>
      <c r="E23" s="7"/>
      <c r="F23" s="7"/>
    </row>
    <row r="24" spans="1:4" s="6" customFormat="1" ht="37.5" customHeight="1" thickBot="1">
      <c r="A24" s="20" t="s">
        <v>8</v>
      </c>
      <c r="B24" s="18">
        <f>B21+B22+B23</f>
        <v>615</v>
      </c>
      <c r="C24" s="18">
        <f>C21+C22+C23</f>
        <v>324.3</v>
      </c>
      <c r="D24" s="18">
        <f>D21+D22+D23</f>
        <v>12.2</v>
      </c>
    </row>
    <row r="25" spans="1:4" ht="51" customHeight="1" thickBot="1">
      <c r="A25" s="21" t="s">
        <v>6</v>
      </c>
      <c r="B25" s="22">
        <f>B19+B24</f>
        <v>71196.88046</v>
      </c>
      <c r="C25" s="22">
        <f>C19+C24</f>
        <v>37732.6966438</v>
      </c>
      <c r="D25" s="22">
        <f>D19+D24</f>
        <v>1423.8376092</v>
      </c>
    </row>
    <row r="26" spans="1:3" ht="25.5" customHeight="1">
      <c r="A26" s="6"/>
      <c r="B26" s="10"/>
      <c r="C26" s="10"/>
    </row>
  </sheetData>
  <sheetProtection/>
  <mergeCells count="7">
    <mergeCell ref="A20:D20"/>
    <mergeCell ref="B1:D1"/>
    <mergeCell ref="B2:D2"/>
    <mergeCell ref="A8:D8"/>
    <mergeCell ref="A10:A11"/>
    <mergeCell ref="B10:D10"/>
    <mergeCell ref="A12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2.75"/>
  <cols>
    <col min="1" max="1" width="8.7109375" style="23" customWidth="1"/>
    <col min="2" max="2" width="88.140625" style="1" customWidth="1"/>
    <col min="3" max="3" width="48.00390625" style="1" customWidth="1"/>
    <col min="4" max="4" width="14.8515625" style="1" customWidth="1"/>
    <col min="5" max="5" width="9.28125" style="1" bestFit="1" customWidth="1"/>
    <col min="6" max="6" width="16.57421875" style="1" customWidth="1"/>
    <col min="7" max="7" width="10.140625" style="1" bestFit="1" customWidth="1"/>
    <col min="8" max="9" width="9.28125" style="1" bestFit="1" customWidth="1"/>
    <col min="10" max="10" width="13.7109375" style="1" customWidth="1"/>
    <col min="11" max="11" width="9.140625" style="1" customWidth="1"/>
    <col min="12" max="12" width="12.140625" style="1" customWidth="1"/>
    <col min="13" max="16384" width="9.140625" style="1" customWidth="1"/>
  </cols>
  <sheetData>
    <row r="1" ht="15" customHeight="1">
      <c r="C1" s="24" t="s">
        <v>309</v>
      </c>
    </row>
    <row r="2" ht="15" customHeight="1">
      <c r="C2" s="24" t="s">
        <v>11</v>
      </c>
    </row>
    <row r="3" spans="2:4" ht="55.5" customHeight="1">
      <c r="B3" s="25"/>
      <c r="C3" s="24" t="s">
        <v>42</v>
      </c>
      <c r="D3" s="26"/>
    </row>
    <row r="4" ht="12.75" customHeight="1">
      <c r="C4" s="27"/>
    </row>
    <row r="5" spans="1:12" ht="67.5" customHeight="1">
      <c r="A5" s="1"/>
      <c r="B5" s="246" t="s">
        <v>41</v>
      </c>
      <c r="C5" s="246"/>
      <c r="D5" s="28"/>
      <c r="E5" s="28"/>
      <c r="F5" s="28"/>
      <c r="G5" s="28"/>
      <c r="H5" s="28"/>
      <c r="I5" s="28"/>
      <c r="J5" s="28"/>
      <c r="K5" s="28"/>
      <c r="L5" s="28"/>
    </row>
    <row r="6" spans="2:12" ht="13.5" customHeight="1" thickBot="1"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</row>
    <row r="7" spans="1:12" s="23" customFormat="1" ht="45.75" customHeight="1">
      <c r="A7" s="30" t="s">
        <v>26</v>
      </c>
      <c r="B7" s="31" t="s">
        <v>0</v>
      </c>
      <c r="C7" s="32" t="s">
        <v>43</v>
      </c>
      <c r="D7" s="28"/>
      <c r="E7" s="33"/>
      <c r="F7" s="33"/>
      <c r="G7" s="33"/>
      <c r="H7" s="33"/>
      <c r="I7" s="33"/>
      <c r="J7" s="33"/>
      <c r="K7" s="33"/>
      <c r="L7" s="33"/>
    </row>
    <row r="8" spans="1:12" s="23" customFormat="1" ht="24.75" customHeight="1">
      <c r="A8" s="34">
        <v>1</v>
      </c>
      <c r="B8" s="35" t="s">
        <v>27</v>
      </c>
      <c r="C8" s="36">
        <v>1.75</v>
      </c>
      <c r="D8" s="37"/>
      <c r="E8" s="37"/>
      <c r="F8" s="37"/>
      <c r="G8" s="37"/>
      <c r="H8" s="37"/>
      <c r="I8" s="37"/>
      <c r="J8" s="247"/>
      <c r="K8" s="247"/>
      <c r="L8" s="247"/>
    </row>
    <row r="9" spans="1:12" ht="40.5" customHeight="1">
      <c r="A9" s="38">
        <v>2</v>
      </c>
      <c r="B9" s="39" t="s">
        <v>31</v>
      </c>
      <c r="C9" s="60">
        <v>2442269.7</v>
      </c>
      <c r="D9" s="40"/>
      <c r="E9" s="41"/>
      <c r="F9" s="40"/>
      <c r="G9" s="40"/>
      <c r="H9" s="41"/>
      <c r="I9" s="42"/>
      <c r="J9" s="40"/>
      <c r="K9" s="40"/>
      <c r="L9" s="43"/>
    </row>
    <row r="10" spans="1:12" ht="18.75">
      <c r="A10" s="248">
        <v>3</v>
      </c>
      <c r="B10" s="44" t="s">
        <v>35</v>
      </c>
      <c r="C10" s="250">
        <f>C8%*C9</f>
        <v>42739.719750000004</v>
      </c>
      <c r="D10" s="46"/>
      <c r="E10" s="47"/>
      <c r="F10" s="48"/>
      <c r="G10" s="48"/>
      <c r="H10" s="47"/>
      <c r="I10" s="49"/>
      <c r="J10" s="50"/>
      <c r="K10" s="51"/>
      <c r="L10" s="52"/>
    </row>
    <row r="11" spans="1:12" ht="18.75">
      <c r="A11" s="249"/>
      <c r="B11" s="44" t="s">
        <v>28</v>
      </c>
      <c r="C11" s="251"/>
      <c r="D11" s="46"/>
      <c r="E11" s="47"/>
      <c r="F11" s="48"/>
      <c r="G11" s="48"/>
      <c r="H11" s="47"/>
      <c r="I11" s="49"/>
      <c r="J11" s="50"/>
      <c r="K11" s="51"/>
      <c r="L11" s="52"/>
    </row>
    <row r="12" spans="1:12" ht="38.25" customHeight="1">
      <c r="A12" s="53" t="s">
        <v>29</v>
      </c>
      <c r="B12" s="54" t="s">
        <v>36</v>
      </c>
      <c r="C12" s="55">
        <f>C10/4</f>
        <v>10684.929937500001</v>
      </c>
      <c r="D12" s="46"/>
      <c r="E12" s="47"/>
      <c r="F12" s="48"/>
      <c r="G12" s="48"/>
      <c r="H12" s="47"/>
      <c r="I12" s="49"/>
      <c r="J12" s="50"/>
      <c r="K12" s="51"/>
      <c r="L12" s="52"/>
    </row>
    <row r="13" spans="1:12" s="58" customFormat="1" ht="41.25" customHeight="1">
      <c r="A13" s="38">
        <v>4</v>
      </c>
      <c r="B13" s="56" t="s">
        <v>30</v>
      </c>
      <c r="C13" s="57"/>
      <c r="D13" s="46"/>
      <c r="E13" s="47"/>
      <c r="F13" s="48"/>
      <c r="G13" s="48"/>
      <c r="H13" s="47"/>
      <c r="I13" s="49"/>
      <c r="J13" s="50"/>
      <c r="K13" s="51"/>
      <c r="L13" s="52"/>
    </row>
    <row r="14" spans="1:12" ht="38.25" customHeight="1">
      <c r="A14" s="38">
        <v>5</v>
      </c>
      <c r="B14" s="59" t="s">
        <v>37</v>
      </c>
      <c r="C14" s="60">
        <v>3038551</v>
      </c>
      <c r="D14" s="46"/>
      <c r="E14" s="47"/>
      <c r="F14" s="48"/>
      <c r="G14" s="48"/>
      <c r="H14" s="47"/>
      <c r="I14" s="49"/>
      <c r="J14" s="50"/>
      <c r="K14" s="51"/>
      <c r="L14" s="52"/>
    </row>
    <row r="15" spans="1:12" ht="21.75" customHeight="1">
      <c r="A15" s="252">
        <v>6</v>
      </c>
      <c r="B15" s="44" t="s">
        <v>44</v>
      </c>
      <c r="C15" s="254">
        <f>C14*C8%</f>
        <v>53174.6425</v>
      </c>
      <c r="D15" s="46"/>
      <c r="E15" s="47"/>
      <c r="F15" s="48"/>
      <c r="G15" s="48"/>
      <c r="H15" s="47"/>
      <c r="I15" s="49"/>
      <c r="J15" s="50"/>
      <c r="K15" s="51"/>
      <c r="L15" s="52"/>
    </row>
    <row r="16" spans="1:12" ht="21" customHeight="1">
      <c r="A16" s="253"/>
      <c r="B16" s="44" t="s">
        <v>28</v>
      </c>
      <c r="C16" s="255"/>
      <c r="D16" s="46"/>
      <c r="E16" s="47"/>
      <c r="F16" s="48"/>
      <c r="G16" s="48"/>
      <c r="H16" s="47"/>
      <c r="I16" s="49"/>
      <c r="J16" s="50"/>
      <c r="K16" s="51"/>
      <c r="L16" s="52"/>
    </row>
    <row r="17" spans="1:12" ht="46.5" customHeight="1">
      <c r="A17" s="34" t="s">
        <v>32</v>
      </c>
      <c r="B17" s="54" t="s">
        <v>45</v>
      </c>
      <c r="C17" s="61">
        <f>C15/4*3</f>
        <v>39880.981875</v>
      </c>
      <c r="D17" s="46"/>
      <c r="E17" s="47"/>
      <c r="F17" s="48"/>
      <c r="G17" s="48"/>
      <c r="H17" s="47"/>
      <c r="I17" s="49"/>
      <c r="J17" s="50"/>
      <c r="K17" s="51"/>
      <c r="L17" s="52"/>
    </row>
    <row r="18" spans="1:12" ht="42.75" customHeight="1">
      <c r="A18" s="34">
        <v>7</v>
      </c>
      <c r="B18" s="39" t="s">
        <v>46</v>
      </c>
      <c r="C18" s="61">
        <f>C17+C12</f>
        <v>50565.911812499995</v>
      </c>
      <c r="D18" s="46"/>
      <c r="E18" s="47"/>
      <c r="F18" s="48"/>
      <c r="G18" s="48"/>
      <c r="H18" s="47"/>
      <c r="I18" s="49"/>
      <c r="J18" s="50"/>
      <c r="K18" s="51"/>
      <c r="L18" s="52"/>
    </row>
    <row r="19" spans="1:12" ht="28.5" customHeight="1">
      <c r="A19" s="34">
        <v>8</v>
      </c>
      <c r="B19" s="39" t="s">
        <v>33</v>
      </c>
      <c r="C19" s="62">
        <v>97</v>
      </c>
      <c r="D19" s="46"/>
      <c r="E19" s="47"/>
      <c r="F19" s="48"/>
      <c r="G19" s="48"/>
      <c r="H19" s="47"/>
      <c r="I19" s="49"/>
      <c r="J19" s="50"/>
      <c r="K19" s="51"/>
      <c r="L19" s="52"/>
    </row>
    <row r="20" spans="1:12" s="2" customFormat="1" ht="42.75" customHeight="1">
      <c r="A20" s="63">
        <v>9</v>
      </c>
      <c r="B20" s="54" t="s">
        <v>38</v>
      </c>
      <c r="C20" s="64">
        <f>C18*C19%</f>
        <v>49048.934458125</v>
      </c>
      <c r="D20" s="46"/>
      <c r="E20" s="47"/>
      <c r="F20" s="48"/>
      <c r="G20" s="48"/>
      <c r="H20" s="47"/>
      <c r="I20" s="49"/>
      <c r="J20" s="50"/>
      <c r="K20" s="51"/>
      <c r="L20" s="52"/>
    </row>
    <row r="21" spans="1:12" s="65" customFormat="1" ht="24.75" customHeight="1">
      <c r="A21" s="34">
        <v>10</v>
      </c>
      <c r="B21" s="39" t="s">
        <v>34</v>
      </c>
      <c r="C21" s="55"/>
      <c r="D21" s="46"/>
      <c r="E21" s="47"/>
      <c r="F21" s="48"/>
      <c r="G21" s="48"/>
      <c r="H21" s="47"/>
      <c r="I21" s="49"/>
      <c r="J21" s="50"/>
      <c r="K21" s="51"/>
      <c r="L21" s="52"/>
    </row>
    <row r="22" spans="1:12" ht="41.25" customHeight="1">
      <c r="A22" s="66">
        <v>11</v>
      </c>
      <c r="B22" s="44" t="s">
        <v>39</v>
      </c>
      <c r="C22" s="45">
        <f>C20+C21</f>
        <v>49048.934458125</v>
      </c>
      <c r="D22" s="46"/>
      <c r="E22" s="47"/>
      <c r="F22" s="48"/>
      <c r="G22" s="48"/>
      <c r="H22" s="47"/>
      <c r="I22" s="49"/>
      <c r="J22" s="50"/>
      <c r="K22" s="51"/>
      <c r="L22" s="52"/>
    </row>
    <row r="23" spans="1:12" ht="75.75" customHeight="1" thickBot="1">
      <c r="A23" s="67">
        <v>12</v>
      </c>
      <c r="B23" s="68" t="s">
        <v>40</v>
      </c>
      <c r="C23" s="69">
        <f>C22*50%</f>
        <v>24524.4672290625</v>
      </c>
      <c r="D23" s="46"/>
      <c r="E23" s="70"/>
      <c r="F23" s="71"/>
      <c r="G23" s="48"/>
      <c r="H23" s="47"/>
      <c r="I23" s="49"/>
      <c r="J23" s="52"/>
      <c r="K23" s="51"/>
      <c r="L23" s="52"/>
    </row>
    <row r="24" spans="1:12" ht="18.75">
      <c r="A24" s="72"/>
      <c r="B24" s="7"/>
      <c r="C24" s="7"/>
      <c r="D24" s="28"/>
      <c r="E24" s="28"/>
      <c r="F24" s="28"/>
      <c r="G24" s="28"/>
      <c r="H24" s="28"/>
      <c r="I24" s="28"/>
      <c r="J24" s="28"/>
      <c r="K24" s="28"/>
      <c r="L24" s="28"/>
    </row>
    <row r="25" spans="4:12" ht="18.75">
      <c r="D25" s="28"/>
      <c r="E25" s="28"/>
      <c r="F25" s="28"/>
      <c r="G25" s="28"/>
      <c r="H25" s="28"/>
      <c r="I25" s="28"/>
      <c r="J25" s="28"/>
      <c r="K25" s="28"/>
      <c r="L25" s="28"/>
    </row>
    <row r="26" spans="4:12" ht="18.75">
      <c r="D26" s="28"/>
      <c r="E26" s="28"/>
      <c r="F26" s="28"/>
      <c r="G26" s="28"/>
      <c r="H26" s="28"/>
      <c r="I26" s="28"/>
      <c r="J26" s="28"/>
      <c r="K26" s="28"/>
      <c r="L26" s="28"/>
    </row>
    <row r="27" spans="4:12" ht="18.75">
      <c r="D27" s="28"/>
      <c r="E27" s="28"/>
      <c r="F27" s="28"/>
      <c r="G27" s="28"/>
      <c r="H27" s="28"/>
      <c r="I27" s="28"/>
      <c r="J27" s="28"/>
      <c r="K27" s="28"/>
      <c r="L27" s="28"/>
    </row>
    <row r="28" spans="4:12" ht="18.75">
      <c r="D28" s="28"/>
      <c r="E28" s="28"/>
      <c r="F28" s="28"/>
      <c r="G28" s="28"/>
      <c r="H28" s="28"/>
      <c r="I28" s="28"/>
      <c r="J28" s="28"/>
      <c r="K28" s="28"/>
      <c r="L28" s="28"/>
    </row>
    <row r="29" spans="4:12" ht="18.75">
      <c r="D29" s="28"/>
      <c r="E29" s="28"/>
      <c r="F29" s="28"/>
      <c r="G29" s="28"/>
      <c r="H29" s="28"/>
      <c r="I29" s="28"/>
      <c r="J29" s="28"/>
      <c r="K29" s="28"/>
      <c r="L29" s="28"/>
    </row>
    <row r="30" spans="4:12" ht="18.75">
      <c r="D30" s="28"/>
      <c r="E30" s="28"/>
      <c r="F30" s="28"/>
      <c r="G30" s="28"/>
      <c r="H30" s="28"/>
      <c r="I30" s="28"/>
      <c r="J30" s="28"/>
      <c r="K30" s="28"/>
      <c r="L30" s="28"/>
    </row>
    <row r="31" spans="4:12" ht="18.75">
      <c r="D31" s="28"/>
      <c r="E31" s="28"/>
      <c r="F31" s="28"/>
      <c r="G31" s="28"/>
      <c r="H31" s="28"/>
      <c r="I31" s="28"/>
      <c r="J31" s="28"/>
      <c r="K31" s="28"/>
      <c r="L31" s="28"/>
    </row>
    <row r="32" spans="4:12" ht="18.75">
      <c r="D32" s="28"/>
      <c r="E32" s="28"/>
      <c r="F32" s="28"/>
      <c r="G32" s="28"/>
      <c r="H32" s="28"/>
      <c r="I32" s="28"/>
      <c r="J32" s="28"/>
      <c r="K32" s="28"/>
      <c r="L32" s="28"/>
    </row>
    <row r="33" spans="4:12" ht="18.75">
      <c r="D33" s="28"/>
      <c r="E33" s="28"/>
      <c r="F33" s="28"/>
      <c r="G33" s="28"/>
      <c r="H33" s="28"/>
      <c r="I33" s="28"/>
      <c r="J33" s="28"/>
      <c r="K33" s="28"/>
      <c r="L33" s="28"/>
    </row>
    <row r="34" spans="4:12" ht="18.75">
      <c r="D34" s="28"/>
      <c r="E34" s="28"/>
      <c r="F34" s="28"/>
      <c r="G34" s="28"/>
      <c r="H34" s="28"/>
      <c r="I34" s="28"/>
      <c r="J34" s="28"/>
      <c r="K34" s="28"/>
      <c r="L34" s="28"/>
    </row>
    <row r="35" spans="4:12" ht="18.75">
      <c r="D35" s="28"/>
      <c r="E35" s="28"/>
      <c r="F35" s="28"/>
      <c r="G35" s="28"/>
      <c r="H35" s="28"/>
      <c r="I35" s="28"/>
      <c r="J35" s="28"/>
      <c r="K35" s="28"/>
      <c r="L35" s="28"/>
    </row>
    <row r="36" spans="4:12" ht="18.75">
      <c r="D36" s="28"/>
      <c r="E36" s="28"/>
      <c r="F36" s="28"/>
      <c r="G36" s="28"/>
      <c r="H36" s="28"/>
      <c r="I36" s="28"/>
      <c r="J36" s="28"/>
      <c r="K36" s="28"/>
      <c r="L36" s="28"/>
    </row>
    <row r="37" spans="4:12" ht="18.75">
      <c r="D37" s="28"/>
      <c r="E37" s="28"/>
      <c r="F37" s="28"/>
      <c r="G37" s="28"/>
      <c r="H37" s="28"/>
      <c r="I37" s="28"/>
      <c r="J37" s="28"/>
      <c r="K37" s="28"/>
      <c r="L37" s="28"/>
    </row>
    <row r="38" spans="4:12" ht="18.75">
      <c r="D38" s="28"/>
      <c r="E38" s="28"/>
      <c r="F38" s="28"/>
      <c r="G38" s="28"/>
      <c r="H38" s="28"/>
      <c r="I38" s="28"/>
      <c r="J38" s="28"/>
      <c r="K38" s="28"/>
      <c r="L38" s="28"/>
    </row>
    <row r="39" spans="4:12" ht="18.75">
      <c r="D39" s="28"/>
      <c r="E39" s="28"/>
      <c r="F39" s="28"/>
      <c r="G39" s="28"/>
      <c r="H39" s="28"/>
      <c r="I39" s="28"/>
      <c r="J39" s="28"/>
      <c r="K39" s="28"/>
      <c r="L39" s="28"/>
    </row>
    <row r="40" spans="4:12" ht="18.75">
      <c r="D40" s="28"/>
      <c r="E40" s="28"/>
      <c r="F40" s="28"/>
      <c r="G40" s="28"/>
      <c r="H40" s="28"/>
      <c r="I40" s="28"/>
      <c r="J40" s="28"/>
      <c r="K40" s="28"/>
      <c r="L40" s="28"/>
    </row>
    <row r="41" spans="4:12" ht="18.75">
      <c r="D41" s="28"/>
      <c r="E41" s="28"/>
      <c r="F41" s="28"/>
      <c r="G41" s="28"/>
      <c r="H41" s="28"/>
      <c r="I41" s="28"/>
      <c r="J41" s="28"/>
      <c r="K41" s="28"/>
      <c r="L41" s="28"/>
    </row>
    <row r="42" spans="4:12" ht="18.75">
      <c r="D42" s="28"/>
      <c r="E42" s="28"/>
      <c r="F42" s="28"/>
      <c r="G42" s="28"/>
      <c r="H42" s="28"/>
      <c r="I42" s="28"/>
      <c r="J42" s="28"/>
      <c r="K42" s="28"/>
      <c r="L42" s="28"/>
    </row>
    <row r="43" spans="4:12" ht="18.75">
      <c r="D43" s="28"/>
      <c r="E43" s="28"/>
      <c r="F43" s="28"/>
      <c r="G43" s="28"/>
      <c r="H43" s="28"/>
      <c r="I43" s="28"/>
      <c r="J43" s="28"/>
      <c r="K43" s="28"/>
      <c r="L43" s="28"/>
    </row>
    <row r="44" spans="4:12" ht="18.75">
      <c r="D44" s="28"/>
      <c r="E44" s="28"/>
      <c r="F44" s="28"/>
      <c r="G44" s="28"/>
      <c r="H44" s="28"/>
      <c r="I44" s="28"/>
      <c r="J44" s="28"/>
      <c r="K44" s="28"/>
      <c r="L44" s="28"/>
    </row>
    <row r="45" spans="4:12" ht="18.75">
      <c r="D45" s="28"/>
      <c r="E45" s="28"/>
      <c r="F45" s="28"/>
      <c r="G45" s="28"/>
      <c r="H45" s="28"/>
      <c r="I45" s="28"/>
      <c r="J45" s="28"/>
      <c r="K45" s="28"/>
      <c r="L45" s="28"/>
    </row>
    <row r="46" spans="4:12" ht="18.75">
      <c r="D46" s="28"/>
      <c r="E46" s="28"/>
      <c r="F46" s="28"/>
      <c r="G46" s="28"/>
      <c r="H46" s="28"/>
      <c r="I46" s="28"/>
      <c r="J46" s="28"/>
      <c r="K46" s="28"/>
      <c r="L46" s="28"/>
    </row>
    <row r="47" spans="4:12" ht="18.75">
      <c r="D47" s="28"/>
      <c r="E47" s="28"/>
      <c r="F47" s="28"/>
      <c r="G47" s="28"/>
      <c r="H47" s="28"/>
      <c r="I47" s="28"/>
      <c r="J47" s="28"/>
      <c r="K47" s="28"/>
      <c r="L47" s="28"/>
    </row>
    <row r="48" spans="4:12" ht="18.75">
      <c r="D48" s="28"/>
      <c r="E48" s="28"/>
      <c r="F48" s="28"/>
      <c r="G48" s="28"/>
      <c r="H48" s="28"/>
      <c r="I48" s="28"/>
      <c r="J48" s="28"/>
      <c r="K48" s="28"/>
      <c r="L48" s="28"/>
    </row>
    <row r="49" spans="4:12" ht="18.75">
      <c r="D49" s="28"/>
      <c r="E49" s="28"/>
      <c r="F49" s="28"/>
      <c r="G49" s="28"/>
      <c r="H49" s="28"/>
      <c r="I49" s="28"/>
      <c r="J49" s="28"/>
      <c r="K49" s="28"/>
      <c r="L49" s="28"/>
    </row>
    <row r="50" spans="4:12" ht="18.75">
      <c r="D50" s="28"/>
      <c r="E50" s="28"/>
      <c r="F50" s="28"/>
      <c r="G50" s="28"/>
      <c r="H50" s="28"/>
      <c r="I50" s="28"/>
      <c r="J50" s="28"/>
      <c r="K50" s="28"/>
      <c r="L50" s="28"/>
    </row>
    <row r="51" spans="4:12" ht="18.75">
      <c r="D51" s="28"/>
      <c r="E51" s="28"/>
      <c r="F51" s="28"/>
      <c r="G51" s="28"/>
      <c r="H51" s="28"/>
      <c r="I51" s="28"/>
      <c r="J51" s="28"/>
      <c r="K51" s="28"/>
      <c r="L51" s="28"/>
    </row>
    <row r="52" spans="4:12" ht="18.75">
      <c r="D52" s="28"/>
      <c r="E52" s="28"/>
      <c r="F52" s="28"/>
      <c r="G52" s="28"/>
      <c r="H52" s="28"/>
      <c r="I52" s="28"/>
      <c r="J52" s="28"/>
      <c r="K52" s="28"/>
      <c r="L52" s="28"/>
    </row>
    <row r="53" spans="4:12" ht="18.75">
      <c r="D53" s="28"/>
      <c r="E53" s="28"/>
      <c r="F53" s="28"/>
      <c r="G53" s="28"/>
      <c r="H53" s="28"/>
      <c r="I53" s="28"/>
      <c r="J53" s="28"/>
      <c r="K53" s="28"/>
      <c r="L53" s="28"/>
    </row>
    <row r="54" spans="4:12" ht="18.75">
      <c r="D54" s="28"/>
      <c r="E54" s="28"/>
      <c r="F54" s="28"/>
      <c r="G54" s="28"/>
      <c r="H54" s="28"/>
      <c r="I54" s="28"/>
      <c r="J54" s="28"/>
      <c r="K54" s="28"/>
      <c r="L54" s="28"/>
    </row>
    <row r="55" spans="4:12" ht="18.75">
      <c r="D55" s="28"/>
      <c r="E55" s="28"/>
      <c r="F55" s="28"/>
      <c r="G55" s="28"/>
      <c r="H55" s="28"/>
      <c r="I55" s="28"/>
      <c r="J55" s="28"/>
      <c r="K55" s="28"/>
      <c r="L55" s="28"/>
    </row>
    <row r="56" spans="4:12" ht="18.75">
      <c r="D56" s="28"/>
      <c r="E56" s="28"/>
      <c r="F56" s="28"/>
      <c r="G56" s="28"/>
      <c r="H56" s="28"/>
      <c r="I56" s="28"/>
      <c r="J56" s="28"/>
      <c r="K56" s="28"/>
      <c r="L56" s="28"/>
    </row>
    <row r="57" spans="4:12" ht="18.75">
      <c r="D57" s="28"/>
      <c r="E57" s="28"/>
      <c r="F57" s="28"/>
      <c r="G57" s="28"/>
      <c r="H57" s="28"/>
      <c r="I57" s="28"/>
      <c r="J57" s="28"/>
      <c r="K57" s="28"/>
      <c r="L57" s="28"/>
    </row>
    <row r="58" spans="4:12" ht="18.75">
      <c r="D58" s="28"/>
      <c r="E58" s="28"/>
      <c r="F58" s="28"/>
      <c r="G58" s="28"/>
      <c r="H58" s="28"/>
      <c r="I58" s="28"/>
      <c r="J58" s="28"/>
      <c r="K58" s="28"/>
      <c r="L58" s="28"/>
    </row>
    <row r="59" spans="4:12" ht="18.75">
      <c r="D59" s="28"/>
      <c r="E59" s="28"/>
      <c r="F59" s="28"/>
      <c r="G59" s="28"/>
      <c r="H59" s="28"/>
      <c r="I59" s="28"/>
      <c r="J59" s="28"/>
      <c r="K59" s="28"/>
      <c r="L59" s="28"/>
    </row>
    <row r="60" spans="4:12" ht="18.75">
      <c r="D60" s="28"/>
      <c r="E60" s="28"/>
      <c r="F60" s="28"/>
      <c r="G60" s="28"/>
      <c r="H60" s="28"/>
      <c r="I60" s="28"/>
      <c r="J60" s="28"/>
      <c r="K60" s="28"/>
      <c r="L60" s="28"/>
    </row>
    <row r="61" spans="4:12" ht="18.75">
      <c r="D61" s="28"/>
      <c r="E61" s="28"/>
      <c r="F61" s="28"/>
      <c r="G61" s="28"/>
      <c r="H61" s="28"/>
      <c r="I61" s="28"/>
      <c r="J61" s="28"/>
      <c r="K61" s="28"/>
      <c r="L61" s="28"/>
    </row>
    <row r="62" spans="4:12" ht="18.75"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6">
    <mergeCell ref="B5:C5"/>
    <mergeCell ref="J8:L8"/>
    <mergeCell ref="A10:A11"/>
    <mergeCell ref="C10:C11"/>
    <mergeCell ref="A15:A16"/>
    <mergeCell ref="C15:C16"/>
  </mergeCells>
  <printOptions/>
  <pageMargins left="0.98" right="0.2362204724409449" top="0.7480314960629921" bottom="0.7480314960629921" header="0.31496062992125984" footer="0.31496062992125984"/>
  <pageSetup fitToHeight="0" horizontalDpi="600" verticalDpi="600" orientation="portrait" paperSize="9" scale="63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1">
      <selection activeCell="H10" sqref="H10:H11"/>
    </sheetView>
  </sheetViews>
  <sheetFormatPr defaultColWidth="9.140625" defaultRowHeight="12.75"/>
  <cols>
    <col min="1" max="1" width="3.57421875" style="0" customWidth="1"/>
    <col min="2" max="2" width="49.421875" style="0" customWidth="1"/>
    <col min="3" max="3" width="14.57421875" style="0" hidden="1" customWidth="1"/>
    <col min="4" max="4" width="14.140625" style="0" hidden="1" customWidth="1"/>
    <col min="5" max="5" width="16.421875" style="0" hidden="1" customWidth="1"/>
    <col min="6" max="7" width="13.8515625" style="0" hidden="1" customWidth="1"/>
    <col min="8" max="8" width="40.421875" style="0" customWidth="1"/>
    <col min="9" max="10" width="10.421875" style="138" customWidth="1"/>
    <col min="11" max="245" width="10.421875" style="0" customWidth="1"/>
  </cols>
  <sheetData>
    <row r="1" spans="1:8" s="109" customFormat="1" ht="15" customHeight="1">
      <c r="A1" s="107"/>
      <c r="B1" s="108"/>
      <c r="F1" s="140"/>
      <c r="G1" s="140"/>
      <c r="H1" s="197" t="s">
        <v>310</v>
      </c>
    </row>
    <row r="2" spans="1:9" s="109" customFormat="1" ht="12.75" customHeight="1">
      <c r="A2" s="107"/>
      <c r="C2" s="110"/>
      <c r="D2" s="110"/>
      <c r="E2" s="110"/>
      <c r="F2" s="141"/>
      <c r="G2" s="141"/>
      <c r="H2" s="112" t="s">
        <v>11</v>
      </c>
      <c r="I2" s="110"/>
    </row>
    <row r="3" spans="1:9" s="109" customFormat="1" ht="11.25" customHeight="1">
      <c r="A3" s="107"/>
      <c r="B3" s="110"/>
      <c r="C3" s="110"/>
      <c r="D3" s="110"/>
      <c r="E3" s="110"/>
      <c r="F3" s="141"/>
      <c r="G3" s="141"/>
      <c r="H3" s="256" t="s">
        <v>307</v>
      </c>
      <c r="I3" s="110"/>
    </row>
    <row r="4" spans="2:8" ht="44.25" customHeight="1">
      <c r="B4" s="142"/>
      <c r="C4" s="142"/>
      <c r="D4" s="142"/>
      <c r="E4" s="142"/>
      <c r="F4" s="142"/>
      <c r="G4" s="142"/>
      <c r="H4" s="256"/>
    </row>
    <row r="5" spans="2:8" ht="44.25" customHeight="1">
      <c r="B5" s="257" t="s">
        <v>308</v>
      </c>
      <c r="C5" s="257"/>
      <c r="D5" s="257"/>
      <c r="E5" s="257"/>
      <c r="F5" s="257"/>
      <c r="G5" s="257"/>
      <c r="H5" s="257"/>
    </row>
    <row r="7" spans="1:8" ht="12.75" customHeight="1">
      <c r="A7" s="122" t="s">
        <v>251</v>
      </c>
      <c r="B7" s="258" t="s">
        <v>0</v>
      </c>
      <c r="C7" s="258" t="s">
        <v>252</v>
      </c>
      <c r="D7" s="260" t="s">
        <v>253</v>
      </c>
      <c r="E7" s="261"/>
      <c r="F7" s="262"/>
      <c r="G7" s="266">
        <v>2013</v>
      </c>
      <c r="H7" s="266" t="s">
        <v>233</v>
      </c>
    </row>
    <row r="8" spans="1:8" ht="46.5" customHeight="1">
      <c r="A8" s="122" t="s">
        <v>254</v>
      </c>
      <c r="B8" s="259"/>
      <c r="C8" s="259"/>
      <c r="D8" s="263"/>
      <c r="E8" s="264"/>
      <c r="F8" s="265"/>
      <c r="G8" s="266"/>
      <c r="H8" s="266"/>
    </row>
    <row r="9" spans="1:8" ht="12.75">
      <c r="A9" s="125">
        <v>1</v>
      </c>
      <c r="B9" s="143" t="s">
        <v>255</v>
      </c>
      <c r="C9" s="143"/>
      <c r="D9" s="122"/>
      <c r="E9" s="122"/>
      <c r="F9" s="122"/>
      <c r="G9" s="122"/>
      <c r="H9" s="122"/>
    </row>
    <row r="10" spans="1:8" ht="12.75">
      <c r="A10" s="125"/>
      <c r="B10" s="144" t="s">
        <v>256</v>
      </c>
      <c r="C10" s="132">
        <v>53602</v>
      </c>
      <c r="D10" s="145">
        <v>42299</v>
      </c>
      <c r="E10" s="145">
        <v>11303</v>
      </c>
      <c r="F10" s="126">
        <v>59051</v>
      </c>
      <c r="G10" s="126">
        <v>57165</v>
      </c>
      <c r="H10" s="148">
        <v>131724</v>
      </c>
    </row>
    <row r="11" spans="1:8" ht="12.75">
      <c r="A11" s="125"/>
      <c r="B11" s="144" t="s">
        <v>257</v>
      </c>
      <c r="C11" s="132">
        <v>22993</v>
      </c>
      <c r="D11" s="145">
        <v>13966</v>
      </c>
      <c r="E11" s="145">
        <v>9027</v>
      </c>
      <c r="F11" s="126">
        <v>23494</v>
      </c>
      <c r="G11" s="126">
        <v>48368</v>
      </c>
      <c r="H11" s="148">
        <v>41060</v>
      </c>
    </row>
    <row r="12" spans="1:8" ht="12.75">
      <c r="A12" s="125">
        <v>2</v>
      </c>
      <c r="B12" s="143" t="s">
        <v>258</v>
      </c>
      <c r="C12" s="143"/>
      <c r="D12" s="145"/>
      <c r="E12" s="145"/>
      <c r="F12" s="126"/>
      <c r="G12" s="126"/>
      <c r="H12" s="122"/>
    </row>
    <row r="13" spans="1:8" ht="12.75">
      <c r="A13" s="125"/>
      <c r="B13" s="144" t="s">
        <v>256</v>
      </c>
      <c r="C13" s="130">
        <v>0.06</v>
      </c>
      <c r="D13" s="130">
        <v>0.06</v>
      </c>
      <c r="E13" s="130">
        <v>0.06</v>
      </c>
      <c r="F13" s="130">
        <v>0.06</v>
      </c>
      <c r="G13" s="130">
        <v>0.06</v>
      </c>
      <c r="H13" s="130">
        <v>0.06</v>
      </c>
    </row>
    <row r="14" spans="1:8" ht="12.75">
      <c r="A14" s="125"/>
      <c r="B14" s="144" t="s">
        <v>257</v>
      </c>
      <c r="C14" s="130">
        <v>0.09687</v>
      </c>
      <c r="D14" s="130">
        <v>0.09687</v>
      </c>
      <c r="E14" s="130">
        <v>0.09687</v>
      </c>
      <c r="F14" s="130">
        <v>0.09687</v>
      </c>
      <c r="G14" s="130">
        <v>0.09687</v>
      </c>
      <c r="H14" s="130">
        <v>0.09687</v>
      </c>
    </row>
    <row r="15" spans="1:8" ht="12.75">
      <c r="A15" s="125"/>
      <c r="B15" s="144" t="s">
        <v>259</v>
      </c>
      <c r="C15" s="130"/>
      <c r="D15" s="130"/>
      <c r="E15" s="130"/>
      <c r="F15" s="130">
        <v>0.01</v>
      </c>
      <c r="G15" s="130">
        <v>0.01</v>
      </c>
      <c r="H15" s="130"/>
    </row>
    <row r="16" spans="1:10" s="150" customFormat="1" ht="25.5">
      <c r="A16" s="146">
        <v>3</v>
      </c>
      <c r="B16" s="147" t="s">
        <v>260</v>
      </c>
      <c r="C16" s="148">
        <f aca="true" t="shared" si="0" ref="C16:H16">SUM(C18:C19)</f>
        <v>5443.45191</v>
      </c>
      <c r="D16" s="148">
        <f t="shared" si="0"/>
        <v>3890.8264200000003</v>
      </c>
      <c r="E16" s="148">
        <f t="shared" si="0"/>
        <v>1552.62549</v>
      </c>
      <c r="F16" s="148">
        <f t="shared" si="0"/>
        <v>5818.92378</v>
      </c>
      <c r="G16" s="148">
        <f t="shared" si="0"/>
        <v>8115.3081600000005</v>
      </c>
      <c r="H16" s="148">
        <f t="shared" si="0"/>
        <v>11880.922199999999</v>
      </c>
      <c r="I16" s="149"/>
      <c r="J16" s="149"/>
    </row>
    <row r="17" spans="1:9" ht="12.75">
      <c r="A17" s="125"/>
      <c r="B17" s="143" t="s">
        <v>28</v>
      </c>
      <c r="C17" s="122"/>
      <c r="D17" s="122"/>
      <c r="E17" s="122"/>
      <c r="F17" s="122"/>
      <c r="G17" s="122"/>
      <c r="H17" s="122"/>
      <c r="I17" s="151"/>
    </row>
    <row r="18" spans="1:8" ht="12.75">
      <c r="A18" s="125"/>
      <c r="B18" s="144" t="s">
        <v>261</v>
      </c>
      <c r="C18" s="126">
        <f aca="true" t="shared" si="1" ref="C18:F19">C10*C13</f>
        <v>3216.12</v>
      </c>
      <c r="D18" s="126">
        <f t="shared" si="1"/>
        <v>2537.94</v>
      </c>
      <c r="E18" s="126">
        <f t="shared" si="1"/>
        <v>678.18</v>
      </c>
      <c r="F18" s="126">
        <f t="shared" si="1"/>
        <v>3543.06</v>
      </c>
      <c r="G18" s="126">
        <f>G10*G13</f>
        <v>3429.9</v>
      </c>
      <c r="H18" s="126">
        <f>H10*H13</f>
        <v>7903.44</v>
      </c>
    </row>
    <row r="19" spans="1:8" ht="25.5">
      <c r="A19" s="125"/>
      <c r="B19" s="144" t="s">
        <v>262</v>
      </c>
      <c r="C19" s="126">
        <f>C11*C14</f>
        <v>2227.33191</v>
      </c>
      <c r="D19" s="126">
        <f t="shared" si="1"/>
        <v>1352.88642</v>
      </c>
      <c r="E19" s="126">
        <f t="shared" si="1"/>
        <v>874.44549</v>
      </c>
      <c r="F19" s="126">
        <f t="shared" si="1"/>
        <v>2275.86378</v>
      </c>
      <c r="G19" s="126">
        <f>G11*G14</f>
        <v>4685.40816</v>
      </c>
      <c r="H19" s="126">
        <f>H11*H14</f>
        <v>3977.4822</v>
      </c>
    </row>
    <row r="20" spans="1:10" ht="12.75">
      <c r="A20" s="125"/>
      <c r="B20" s="144" t="s">
        <v>259</v>
      </c>
      <c r="C20" s="130"/>
      <c r="D20" s="130"/>
      <c r="E20" s="130"/>
      <c r="F20" s="130">
        <v>0.01</v>
      </c>
      <c r="G20" s="126"/>
      <c r="H20" s="126"/>
      <c r="I20"/>
      <c r="J20"/>
    </row>
    <row r="21" spans="1:10" ht="12.75">
      <c r="A21" s="125">
        <v>4</v>
      </c>
      <c r="B21" s="120" t="s">
        <v>324</v>
      </c>
      <c r="C21" s="129"/>
      <c r="D21" s="129"/>
      <c r="E21" s="129"/>
      <c r="F21" s="129"/>
      <c r="G21" s="129"/>
      <c r="H21" s="126">
        <f>H22+H23</f>
        <v>1499.3638299999998</v>
      </c>
      <c r="I21"/>
      <c r="J21"/>
    </row>
    <row r="22" spans="1:8" ht="12.75">
      <c r="A22" s="125"/>
      <c r="B22" s="144" t="s">
        <v>261</v>
      </c>
      <c r="C22" s="129"/>
      <c r="D22" s="129"/>
      <c r="E22" s="129"/>
      <c r="F22" s="129"/>
      <c r="G22" s="129"/>
      <c r="H22" s="126">
        <v>729.85683</v>
      </c>
    </row>
    <row r="23" spans="1:8" ht="25.5">
      <c r="A23" s="125"/>
      <c r="B23" s="144" t="s">
        <v>262</v>
      </c>
      <c r="C23" s="129"/>
      <c r="D23" s="129"/>
      <c r="E23" s="129"/>
      <c r="F23" s="129"/>
      <c r="G23" s="129"/>
      <c r="H23" s="126">
        <v>769.507</v>
      </c>
    </row>
    <row r="24" spans="1:10" ht="12.75">
      <c r="A24" s="125">
        <v>6</v>
      </c>
      <c r="B24" s="120" t="s">
        <v>263</v>
      </c>
      <c r="C24" s="129"/>
      <c r="D24" s="129"/>
      <c r="E24" s="129"/>
      <c r="F24" s="129"/>
      <c r="G24" s="129">
        <f>G25+G26</f>
        <v>8115.3081600000005</v>
      </c>
      <c r="H24" s="129">
        <f>H25+H26</f>
        <v>10410.055479999999</v>
      </c>
      <c r="I24"/>
      <c r="J24"/>
    </row>
    <row r="25" spans="1:8" ht="12.75">
      <c r="A25" s="125"/>
      <c r="B25" s="144" t="s">
        <v>261</v>
      </c>
      <c r="C25" s="126"/>
      <c r="D25" s="126"/>
      <c r="E25" s="126"/>
      <c r="F25" s="126"/>
      <c r="G25" s="126">
        <f>G18+G22</f>
        <v>3429.9</v>
      </c>
      <c r="H25" s="126">
        <f>H18/4*3+H22</f>
        <v>6657.43683</v>
      </c>
    </row>
    <row r="26" spans="1:8" ht="25.5">
      <c r="A26" s="125"/>
      <c r="B26" s="144" t="s">
        <v>262</v>
      </c>
      <c r="C26" s="126"/>
      <c r="D26" s="126"/>
      <c r="E26" s="126"/>
      <c r="F26" s="126"/>
      <c r="G26" s="126">
        <f>G19+G23</f>
        <v>4685.40816</v>
      </c>
      <c r="H26" s="126">
        <f>H19/4*3+H23</f>
        <v>3752.61865</v>
      </c>
    </row>
    <row r="27" spans="1:10" ht="25.5">
      <c r="A27" s="125">
        <v>5</v>
      </c>
      <c r="B27" s="120" t="s">
        <v>264</v>
      </c>
      <c r="C27" s="130"/>
      <c r="D27" s="130"/>
      <c r="E27" s="130"/>
      <c r="F27" s="130"/>
      <c r="G27" s="130"/>
      <c r="H27" s="130"/>
      <c r="I27"/>
      <c r="J27"/>
    </row>
    <row r="28" spans="1:8" ht="12.75">
      <c r="A28" s="125"/>
      <c r="B28" s="144" t="s">
        <v>261</v>
      </c>
      <c r="C28" s="130">
        <f>90%</f>
        <v>0.9</v>
      </c>
      <c r="D28" s="130">
        <f>90%</f>
        <v>0.9</v>
      </c>
      <c r="E28" s="130">
        <f>90%</f>
        <v>0.9</v>
      </c>
      <c r="F28" s="130">
        <v>1</v>
      </c>
      <c r="G28" s="130">
        <v>1</v>
      </c>
      <c r="H28" s="130">
        <v>1</v>
      </c>
    </row>
    <row r="29" spans="1:8" ht="25.5">
      <c r="A29" s="125"/>
      <c r="B29" s="144" t="s">
        <v>262</v>
      </c>
      <c r="C29" s="130">
        <f>90%</f>
        <v>0.9</v>
      </c>
      <c r="D29" s="130">
        <f>90%</f>
        <v>0.9</v>
      </c>
      <c r="E29" s="130">
        <f>90%</f>
        <v>0.9</v>
      </c>
      <c r="F29" s="130">
        <v>1</v>
      </c>
      <c r="G29" s="130">
        <v>1</v>
      </c>
      <c r="H29" s="130">
        <v>1</v>
      </c>
    </row>
    <row r="30" spans="1:8" ht="12.75">
      <c r="A30" s="125"/>
      <c r="B30" s="144" t="s">
        <v>259</v>
      </c>
      <c r="C30" s="130"/>
      <c r="D30" s="130"/>
      <c r="E30" s="130"/>
      <c r="F30" s="130">
        <v>1</v>
      </c>
      <c r="G30" s="130">
        <v>1</v>
      </c>
      <c r="H30" s="130">
        <v>1</v>
      </c>
    </row>
    <row r="31" spans="1:8" ht="12.75">
      <c r="A31" s="125">
        <v>6</v>
      </c>
      <c r="B31" s="144" t="s">
        <v>325</v>
      </c>
      <c r="C31" s="130"/>
      <c r="D31" s="130"/>
      <c r="E31" s="130"/>
      <c r="F31" s="130"/>
      <c r="G31" s="130"/>
      <c r="H31" s="126">
        <f>SUM(H32:H34)</f>
        <v>-2224</v>
      </c>
    </row>
    <row r="32" spans="1:8" ht="12.75">
      <c r="A32" s="125"/>
      <c r="B32" s="144" t="s">
        <v>261</v>
      </c>
      <c r="C32" s="130"/>
      <c r="D32" s="130"/>
      <c r="E32" s="130"/>
      <c r="F32" s="130"/>
      <c r="G32" s="130"/>
      <c r="H32" s="126">
        <v>-3000</v>
      </c>
    </row>
    <row r="33" spans="1:8" ht="25.5">
      <c r="A33" s="125"/>
      <c r="B33" s="144" t="s">
        <v>262</v>
      </c>
      <c r="C33" s="130"/>
      <c r="D33" s="130"/>
      <c r="E33" s="130"/>
      <c r="F33" s="130"/>
      <c r="G33" s="130"/>
      <c r="H33" s="126">
        <v>-753</v>
      </c>
    </row>
    <row r="34" spans="1:8" ht="12.75">
      <c r="A34" s="125"/>
      <c r="B34" s="144" t="s">
        <v>259</v>
      </c>
      <c r="C34" s="130"/>
      <c r="D34" s="130"/>
      <c r="E34" s="130"/>
      <c r="F34" s="130"/>
      <c r="G34" s="130"/>
      <c r="H34" s="202">
        <v>1529</v>
      </c>
    </row>
    <row r="35" spans="1:8" s="155" customFormat="1" ht="12.75">
      <c r="A35" s="152">
        <v>7</v>
      </c>
      <c r="B35" s="153" t="s">
        <v>265</v>
      </c>
      <c r="C35" s="154">
        <f>SUM(C36:C37)</f>
        <v>4286.718379124999</v>
      </c>
      <c r="D35" s="154">
        <f>SUM(D36:D37)</f>
        <v>3064.0258057500005</v>
      </c>
      <c r="E35" s="154">
        <f>SUM(E36:E37)</f>
        <v>1222.692573375</v>
      </c>
      <c r="F35" s="154" t="e">
        <f>SUM(F36:F38)</f>
        <v>#REF!</v>
      </c>
      <c r="G35" s="154">
        <f>SUM(G36:G38)</f>
        <v>9387.89464</v>
      </c>
      <c r="H35" s="154">
        <f>SUM(H36:H38)</f>
        <v>7839.055479999999</v>
      </c>
    </row>
    <row r="36" spans="1:8" ht="12.75">
      <c r="A36" s="125"/>
      <c r="B36" s="144" t="s">
        <v>261</v>
      </c>
      <c r="C36" s="126">
        <f aca="true" t="shared" si="2" ref="C36:F37">((C18+C22-C25)*C28)/4*3.5</f>
        <v>2532.6944999999996</v>
      </c>
      <c r="D36" s="126">
        <f t="shared" si="2"/>
        <v>1998.62775</v>
      </c>
      <c r="E36" s="126">
        <f t="shared" si="2"/>
        <v>534.06675</v>
      </c>
      <c r="F36" s="126">
        <f t="shared" si="2"/>
        <v>3100.1775</v>
      </c>
      <c r="G36" s="126">
        <f>(G25*G28)/4*3.5</f>
        <v>3001.1625</v>
      </c>
      <c r="H36" s="126">
        <f>H25+H32</f>
        <v>3657.4368299999996</v>
      </c>
    </row>
    <row r="37" spans="1:8" ht="25.5">
      <c r="A37" s="125"/>
      <c r="B37" s="144" t="s">
        <v>262</v>
      </c>
      <c r="C37" s="126">
        <f t="shared" si="2"/>
        <v>1754.023879125</v>
      </c>
      <c r="D37" s="126">
        <f t="shared" si="2"/>
        <v>1065.3980557500001</v>
      </c>
      <c r="E37" s="126">
        <f t="shared" si="2"/>
        <v>688.625823375</v>
      </c>
      <c r="F37" s="126">
        <f t="shared" si="2"/>
        <v>1991.3808075000002</v>
      </c>
      <c r="G37" s="126">
        <f>(G26*G29)/4*3.5</f>
        <v>4099.73214</v>
      </c>
      <c r="H37" s="126">
        <f>H26+H33</f>
        <v>2999.61865</v>
      </c>
    </row>
    <row r="38" spans="1:8" ht="12.75">
      <c r="A38" s="122"/>
      <c r="B38" s="144" t="s">
        <v>259</v>
      </c>
      <c r="C38" s="122"/>
      <c r="D38" s="122"/>
      <c r="E38" s="122"/>
      <c r="F38" s="128" t="e">
        <f>#REF!*4</f>
        <v>#REF!</v>
      </c>
      <c r="G38" s="128">
        <v>2287</v>
      </c>
      <c r="H38" s="126">
        <v>1182</v>
      </c>
    </row>
    <row r="39" spans="2:8" ht="12.75">
      <c r="B39" s="118"/>
      <c r="D39" s="118"/>
      <c r="E39" s="118"/>
      <c r="F39" s="156"/>
      <c r="G39" s="156"/>
      <c r="H39" s="118"/>
    </row>
  </sheetData>
  <sheetProtection/>
  <mergeCells count="7">
    <mergeCell ref="H3:H4"/>
    <mergeCell ref="B5:H5"/>
    <mergeCell ref="B7:B8"/>
    <mergeCell ref="C7:C8"/>
    <mergeCell ref="D7:F8"/>
    <mergeCell ref="G7:G8"/>
    <mergeCell ref="H7:H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F41" sqref="F41"/>
    </sheetView>
  </sheetViews>
  <sheetFormatPr defaultColWidth="9.140625" defaultRowHeight="12.75"/>
  <cols>
    <col min="1" max="1" width="5.421875" style="0" customWidth="1"/>
    <col min="2" max="2" width="47.421875" style="118" customWidth="1"/>
    <col min="3" max="3" width="13.00390625" style="118" hidden="1" customWidth="1"/>
    <col min="4" max="4" width="18.421875" style="0" hidden="1" customWidth="1"/>
    <col min="5" max="5" width="0.42578125" style="0" hidden="1" customWidth="1"/>
    <col min="6" max="6" width="31.140625" style="0" customWidth="1"/>
    <col min="7" max="7" width="22.140625" style="0" customWidth="1"/>
    <col min="8" max="8" width="9.140625" style="0" hidden="1" customWidth="1"/>
    <col min="9" max="9" width="21.140625" style="0" customWidth="1"/>
  </cols>
  <sheetData>
    <row r="1" spans="1:6" s="109" customFormat="1" ht="15" customHeight="1">
      <c r="A1" s="107"/>
      <c r="B1" s="108"/>
      <c r="F1" s="197" t="s">
        <v>313</v>
      </c>
    </row>
    <row r="2" spans="1:8" s="109" customFormat="1" ht="12.75" customHeight="1">
      <c r="A2" s="107"/>
      <c r="C2" s="110"/>
      <c r="D2" s="110"/>
      <c r="E2" s="110"/>
      <c r="F2" s="112" t="s">
        <v>11</v>
      </c>
      <c r="G2" s="110"/>
      <c r="H2" s="110"/>
    </row>
    <row r="3" spans="1:8" s="109" customFormat="1" ht="60" customHeight="1">
      <c r="A3" s="107"/>
      <c r="B3" s="110"/>
      <c r="C3" s="110"/>
      <c r="D3" s="110"/>
      <c r="E3" s="110"/>
      <c r="F3" s="112" t="s">
        <v>311</v>
      </c>
      <c r="G3" s="110"/>
      <c r="H3" s="110"/>
    </row>
    <row r="4" spans="6:7" ht="12.75">
      <c r="F4" s="110"/>
      <c r="G4" s="131"/>
    </row>
    <row r="5" spans="2:7" ht="42.75" customHeight="1">
      <c r="B5" s="267" t="s">
        <v>312</v>
      </c>
      <c r="C5" s="267"/>
      <c r="D5" s="267"/>
      <c r="E5" s="267"/>
      <c r="F5" s="267"/>
      <c r="G5" s="115"/>
    </row>
    <row r="6" spans="2:7" ht="12.75">
      <c r="B6" s="114"/>
      <c r="C6" s="114"/>
      <c r="D6" s="115"/>
      <c r="E6" s="115"/>
      <c r="F6" s="115"/>
      <c r="G6" s="115"/>
    </row>
    <row r="8" spans="1:6" ht="43.5" customHeight="1">
      <c r="A8" s="119" t="s">
        <v>230</v>
      </c>
      <c r="B8" s="120" t="s">
        <v>231</v>
      </c>
      <c r="C8" s="120" t="s">
        <v>243</v>
      </c>
      <c r="D8" s="119" t="s">
        <v>244</v>
      </c>
      <c r="E8" s="121" t="s">
        <v>232</v>
      </c>
      <c r="F8" s="121" t="s">
        <v>233</v>
      </c>
    </row>
    <row r="9" spans="1:6" ht="12.75">
      <c r="A9" s="122"/>
      <c r="B9" s="120"/>
      <c r="C9" s="120"/>
      <c r="D9" s="122"/>
      <c r="E9" s="122"/>
      <c r="F9" s="122"/>
    </row>
    <row r="10" spans="1:6" ht="12.75">
      <c r="A10" s="125">
        <v>1</v>
      </c>
      <c r="B10" s="120" t="s">
        <v>236</v>
      </c>
      <c r="C10" s="132">
        <v>73894</v>
      </c>
      <c r="D10" s="133">
        <v>76664</v>
      </c>
      <c r="E10" s="126">
        <v>88044</v>
      </c>
      <c r="F10" s="126">
        <v>91371</v>
      </c>
    </row>
    <row r="11" spans="1:6" ht="12.75">
      <c r="A11" s="125"/>
      <c r="B11" s="120"/>
      <c r="C11" s="129"/>
      <c r="D11" s="129"/>
      <c r="E11" s="129"/>
      <c r="F11" s="129"/>
    </row>
    <row r="12" spans="1:6" ht="12.75">
      <c r="A12" s="125">
        <v>2</v>
      </c>
      <c r="B12" s="120" t="s">
        <v>245</v>
      </c>
      <c r="C12" s="134">
        <v>0.15</v>
      </c>
      <c r="D12" s="134">
        <v>0.15</v>
      </c>
      <c r="E12" s="134">
        <v>0.15</v>
      </c>
      <c r="F12" s="134">
        <v>0.15</v>
      </c>
    </row>
    <row r="13" spans="1:6" ht="12.75">
      <c r="A13" s="125"/>
      <c r="B13" s="120" t="s">
        <v>322</v>
      </c>
      <c r="C13" s="122">
        <v>1.372</v>
      </c>
      <c r="D13" s="122">
        <v>1.494</v>
      </c>
      <c r="E13" s="122">
        <v>1.494</v>
      </c>
      <c r="F13" s="122">
        <v>1.798</v>
      </c>
    </row>
    <row r="14" spans="1:6" ht="12.75">
      <c r="A14" s="125"/>
      <c r="B14" s="120" t="s">
        <v>323</v>
      </c>
      <c r="C14" s="122">
        <v>0.467</v>
      </c>
      <c r="D14" s="122">
        <v>0.467</v>
      </c>
      <c r="E14" s="122">
        <v>0.467</v>
      </c>
      <c r="F14" s="122">
        <v>0.438</v>
      </c>
    </row>
    <row r="15" spans="1:6" ht="12.75">
      <c r="A15" s="125"/>
      <c r="B15" s="120"/>
      <c r="C15" s="129"/>
      <c r="D15" s="129"/>
      <c r="E15" s="129"/>
      <c r="F15" s="129"/>
    </row>
    <row r="16" spans="1:6" ht="12.75">
      <c r="A16" s="125">
        <v>4</v>
      </c>
      <c r="B16" s="120" t="s">
        <v>246</v>
      </c>
      <c r="C16" s="129">
        <f>C10*C12*C13*C14</f>
        <v>7101.848888400002</v>
      </c>
      <c r="D16" s="129">
        <f>D10*D12*D13*D14</f>
        <v>8023.2479208</v>
      </c>
      <c r="E16" s="129">
        <f>E10*E12*E13*E14</f>
        <v>9214.2184068</v>
      </c>
      <c r="F16" s="129">
        <f>F10*F12*F13*F14</f>
        <v>10793.528310599999</v>
      </c>
    </row>
    <row r="17" spans="1:6" ht="12.75">
      <c r="A17" s="125"/>
      <c r="B17" s="120"/>
      <c r="C17" s="129"/>
      <c r="D17" s="129"/>
      <c r="E17" s="129"/>
      <c r="F17" s="129"/>
    </row>
    <row r="18" spans="1:6" ht="25.5">
      <c r="A18" s="125">
        <v>5</v>
      </c>
      <c r="B18" s="120" t="s">
        <v>247</v>
      </c>
      <c r="C18" s="129"/>
      <c r="D18" s="129"/>
      <c r="E18" s="129"/>
      <c r="F18" s="129">
        <v>1774.65</v>
      </c>
    </row>
    <row r="19" spans="1:6" ht="12.75">
      <c r="A19" s="125"/>
      <c r="B19" s="120"/>
      <c r="C19" s="129"/>
      <c r="D19" s="129"/>
      <c r="E19" s="129"/>
      <c r="F19" s="129"/>
    </row>
    <row r="20" spans="1:6" ht="25.5">
      <c r="A20" s="125">
        <v>6</v>
      </c>
      <c r="B20" s="120" t="s">
        <v>248</v>
      </c>
      <c r="C20" s="129"/>
      <c r="D20" s="129"/>
      <c r="E20" s="129"/>
      <c r="F20" s="129">
        <f>F16/4*3</f>
        <v>8095.146232949999</v>
      </c>
    </row>
    <row r="21" spans="1:6" ht="12.75">
      <c r="A21" s="125"/>
      <c r="B21" s="120"/>
      <c r="C21" s="129"/>
      <c r="D21" s="129"/>
      <c r="E21" s="129"/>
      <c r="F21" s="129"/>
    </row>
    <row r="22" spans="1:6" ht="12.75">
      <c r="A22" s="125">
        <v>7</v>
      </c>
      <c r="B22" s="120" t="s">
        <v>249</v>
      </c>
      <c r="C22" s="129"/>
      <c r="D22" s="129"/>
      <c r="E22" s="129">
        <f>E16</f>
        <v>9214.2184068</v>
      </c>
      <c r="F22" s="129">
        <f>F20+F18</f>
        <v>9869.796232949999</v>
      </c>
    </row>
    <row r="23" spans="1:6" ht="12.75">
      <c r="A23" s="125">
        <v>8</v>
      </c>
      <c r="B23" s="120" t="s">
        <v>250</v>
      </c>
      <c r="C23" s="130">
        <v>1</v>
      </c>
      <c r="D23" s="130">
        <v>1</v>
      </c>
      <c r="E23" s="130">
        <v>1</v>
      </c>
      <c r="F23" s="130">
        <v>1</v>
      </c>
    </row>
    <row r="24" spans="1:6" ht="12.75">
      <c r="A24" s="125"/>
      <c r="B24" s="120"/>
      <c r="C24" s="122"/>
      <c r="D24" s="122"/>
      <c r="E24" s="122"/>
      <c r="F24" s="128"/>
    </row>
    <row r="25" spans="1:6" ht="12.75">
      <c r="A25" s="125">
        <v>9</v>
      </c>
      <c r="B25" s="120" t="s">
        <v>242</v>
      </c>
      <c r="C25" s="135">
        <f>C16*C23</f>
        <v>7101.848888400002</v>
      </c>
      <c r="D25" s="135">
        <f>D16*D23</f>
        <v>8023.2479208</v>
      </c>
      <c r="E25" s="135">
        <f>E22*E23</f>
        <v>9214.2184068</v>
      </c>
      <c r="F25" s="135">
        <f>F22*F23</f>
        <v>9869.796232949999</v>
      </c>
    </row>
    <row r="26" spans="1:6" ht="12.75">
      <c r="A26" s="136"/>
      <c r="B26" s="137"/>
      <c r="C26" s="137"/>
      <c r="D26" s="138"/>
      <c r="E26" s="138"/>
      <c r="F26" s="139"/>
    </row>
  </sheetData>
  <sheetProtection/>
  <mergeCells count="1"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52.7109375" style="118" customWidth="1"/>
    <col min="3" max="3" width="12.7109375" style="118" hidden="1" customWidth="1"/>
    <col min="4" max="4" width="31.140625" style="0" customWidth="1"/>
  </cols>
  <sheetData>
    <row r="1" spans="1:8" s="109" customFormat="1" ht="15" customHeight="1">
      <c r="A1" s="107"/>
      <c r="B1" s="108"/>
      <c r="C1" s="108"/>
      <c r="D1" s="197" t="s">
        <v>314</v>
      </c>
      <c r="G1" s="268"/>
      <c r="H1" s="268"/>
    </row>
    <row r="2" spans="1:8" s="109" customFormat="1" ht="12.75" customHeight="1">
      <c r="A2" s="107"/>
      <c r="D2" s="111" t="s">
        <v>229</v>
      </c>
      <c r="G2" s="268"/>
      <c r="H2" s="268"/>
    </row>
    <row r="3" spans="1:8" s="109" customFormat="1" ht="74.25" customHeight="1">
      <c r="A3" s="107"/>
      <c r="B3" s="110"/>
      <c r="C3" s="110"/>
      <c r="D3" s="112" t="s">
        <v>311</v>
      </c>
      <c r="E3" s="113"/>
      <c r="F3" s="113"/>
      <c r="G3" s="113"/>
      <c r="H3" s="113"/>
    </row>
    <row r="4" spans="2:8" ht="40.5" customHeight="1">
      <c r="B4" s="267" t="s">
        <v>315</v>
      </c>
      <c r="C4" s="267"/>
      <c r="D4" s="267"/>
      <c r="E4" s="269"/>
      <c r="F4" s="269"/>
      <c r="G4" s="269"/>
      <c r="H4" s="269"/>
    </row>
    <row r="5" spans="2:8" ht="15.75">
      <c r="B5" s="114"/>
      <c r="C5" s="114"/>
      <c r="D5" s="115"/>
      <c r="G5" s="116"/>
      <c r="H5" s="117"/>
    </row>
    <row r="6" spans="7:8" ht="15.75">
      <c r="G6" s="116"/>
      <c r="H6" s="117"/>
    </row>
    <row r="7" spans="1:4" ht="25.5">
      <c r="A7" s="119" t="s">
        <v>230</v>
      </c>
      <c r="B7" s="120" t="s">
        <v>231</v>
      </c>
      <c r="C7" s="121" t="s">
        <v>232</v>
      </c>
      <c r="D7" s="121" t="s">
        <v>233</v>
      </c>
    </row>
    <row r="8" spans="1:4" ht="12.75">
      <c r="A8" s="122"/>
      <c r="B8" s="120"/>
      <c r="C8" s="120"/>
      <c r="D8" s="122"/>
    </row>
    <row r="9" spans="1:4" ht="12.75" hidden="1">
      <c r="A9" s="122"/>
      <c r="B9" s="123" t="s">
        <v>234</v>
      </c>
      <c r="C9" s="124"/>
      <c r="D9" s="122"/>
    </row>
    <row r="10" spans="1:4" ht="12.75" hidden="1">
      <c r="A10" s="122"/>
      <c r="B10" s="123" t="s">
        <v>235</v>
      </c>
      <c r="C10" s="124"/>
      <c r="D10" s="122"/>
    </row>
    <row r="11" spans="1:4" ht="12.75">
      <c r="A11" s="125">
        <v>1</v>
      </c>
      <c r="B11" s="123" t="s">
        <v>236</v>
      </c>
      <c r="C11" s="126">
        <v>18914</v>
      </c>
      <c r="D11" s="126">
        <v>27622</v>
      </c>
    </row>
    <row r="12" spans="1:4" ht="12.75">
      <c r="A12" s="125"/>
      <c r="B12" s="120"/>
      <c r="C12" s="126"/>
      <c r="D12" s="126"/>
    </row>
    <row r="13" spans="1:4" ht="12.75">
      <c r="A13" s="125">
        <v>2</v>
      </c>
      <c r="B13" s="120" t="s">
        <v>237</v>
      </c>
      <c r="C13" s="127">
        <v>0.06</v>
      </c>
      <c r="D13" s="127">
        <v>0.06</v>
      </c>
    </row>
    <row r="14" spans="1:4" ht="12.75">
      <c r="A14" s="125"/>
      <c r="B14" s="120"/>
      <c r="C14" s="126"/>
      <c r="D14" s="126"/>
    </row>
    <row r="15" spans="1:4" ht="12.75">
      <c r="A15" s="125">
        <v>3</v>
      </c>
      <c r="B15" s="120" t="s">
        <v>238</v>
      </c>
      <c r="C15" s="128">
        <f>C11*C13</f>
        <v>1134.84</v>
      </c>
      <c r="D15" s="128">
        <f>D11*D13</f>
        <v>1657.32</v>
      </c>
    </row>
    <row r="16" spans="1:4" ht="12.75">
      <c r="A16" s="125"/>
      <c r="B16" s="120"/>
      <c r="C16" s="126"/>
      <c r="D16" s="126"/>
    </row>
    <row r="17" spans="1:4" ht="22.5" customHeight="1">
      <c r="A17" s="125">
        <v>4</v>
      </c>
      <c r="B17" s="120" t="s">
        <v>247</v>
      </c>
      <c r="C17" s="126"/>
      <c r="D17" s="126">
        <v>246.46</v>
      </c>
    </row>
    <row r="18" spans="1:4" ht="12.75">
      <c r="A18" s="125"/>
      <c r="B18" s="120"/>
      <c r="C18" s="126"/>
      <c r="D18" s="126"/>
    </row>
    <row r="19" spans="1:4" ht="12.75">
      <c r="A19" s="125">
        <v>5</v>
      </c>
      <c r="B19" s="120" t="s">
        <v>239</v>
      </c>
      <c r="C19" s="126">
        <f>C15/4*3</f>
        <v>851.1299999999999</v>
      </c>
      <c r="D19" s="126">
        <f>D15/4*3</f>
        <v>1242.99</v>
      </c>
    </row>
    <row r="20" spans="1:4" ht="12.75">
      <c r="A20" s="125"/>
      <c r="B20" s="120"/>
      <c r="C20" s="129"/>
      <c r="D20" s="129"/>
    </row>
    <row r="21" spans="1:4" ht="12.75">
      <c r="A21" s="125">
        <v>6</v>
      </c>
      <c r="B21" s="120" t="s">
        <v>240</v>
      </c>
      <c r="C21" s="126">
        <f>C17+C19</f>
        <v>851.1299999999999</v>
      </c>
      <c r="D21" s="126">
        <f>D17+D19</f>
        <v>1489.45</v>
      </c>
    </row>
    <row r="22" spans="1:4" ht="12.75">
      <c r="A22" s="122"/>
      <c r="B22" s="120"/>
      <c r="C22" s="122"/>
      <c r="D22" s="122"/>
    </row>
    <row r="23" spans="1:4" ht="12.75">
      <c r="A23" s="125">
        <v>8</v>
      </c>
      <c r="B23" s="120" t="s">
        <v>241</v>
      </c>
      <c r="C23" s="130">
        <v>0.65</v>
      </c>
      <c r="D23" s="130">
        <v>0.7</v>
      </c>
    </row>
    <row r="24" spans="1:4" ht="12.75">
      <c r="A24" s="125"/>
      <c r="B24" s="120"/>
      <c r="C24" s="122"/>
      <c r="D24" s="122"/>
    </row>
    <row r="25" spans="1:4" ht="12.75">
      <c r="A25" s="125">
        <v>9</v>
      </c>
      <c r="B25" s="120" t="s">
        <v>242</v>
      </c>
      <c r="C25" s="128">
        <f>C21*C23</f>
        <v>553.2344999999999</v>
      </c>
      <c r="D25" s="128">
        <f>D21*D23</f>
        <v>1042.615</v>
      </c>
    </row>
  </sheetData>
  <sheetProtection/>
  <mergeCells count="4">
    <mergeCell ref="G1:H1"/>
    <mergeCell ref="G2:H2"/>
    <mergeCell ref="B4:D4"/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25" sqref="A25:N25"/>
    </sheetView>
  </sheetViews>
  <sheetFormatPr defaultColWidth="9.140625" defaultRowHeight="12.75"/>
  <cols>
    <col min="1" max="1" width="39.57421875" style="178" customWidth="1"/>
    <col min="2" max="2" width="14.28125" style="179" hidden="1" customWidth="1"/>
    <col min="3" max="3" width="14.57421875" style="179" hidden="1" customWidth="1"/>
    <col min="4" max="5" width="13.28125" style="0" hidden="1" customWidth="1"/>
    <col min="6" max="7" width="12.140625" style="0" hidden="1" customWidth="1"/>
    <col min="8" max="8" width="13.28125" style="0" hidden="1" customWidth="1"/>
    <col min="9" max="9" width="12.140625" style="0" hidden="1" customWidth="1"/>
    <col min="10" max="10" width="13.140625" style="0" hidden="1" customWidth="1"/>
    <col min="11" max="11" width="12.140625" style="0" hidden="1" customWidth="1"/>
    <col min="12" max="12" width="15.28125" style="0" hidden="1" customWidth="1"/>
    <col min="13" max="13" width="0.13671875" style="0" hidden="1" customWidth="1"/>
    <col min="14" max="14" width="47.57421875" style="0" customWidth="1"/>
  </cols>
  <sheetData>
    <row r="1" ht="12.75">
      <c r="N1" s="198" t="s">
        <v>284</v>
      </c>
    </row>
    <row r="2" spans="11:16" ht="25.5" customHeight="1">
      <c r="K2" s="118"/>
      <c r="N2" s="256" t="s">
        <v>316</v>
      </c>
      <c r="P2" s="118"/>
    </row>
    <row r="3" spans="14:17" ht="46.5" customHeight="1">
      <c r="N3" s="256"/>
      <c r="P3" s="157"/>
      <c r="Q3" s="157"/>
    </row>
    <row r="4" spans="1:17" s="181" customFormat="1" ht="15" customHeight="1">
      <c r="A4" s="270" t="s">
        <v>317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180"/>
      <c r="P4" s="180"/>
      <c r="Q4" s="180"/>
    </row>
    <row r="5" spans="1:17" s="181" customFormat="1" ht="1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180"/>
      <c r="P5" s="180"/>
      <c r="Q5" s="180"/>
    </row>
    <row r="6" spans="1:17" s="181" customFormat="1" ht="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8" spans="1:14" ht="32.25" customHeight="1">
      <c r="A8" s="119" t="s">
        <v>285</v>
      </c>
      <c r="B8" s="183" t="s">
        <v>286</v>
      </c>
      <c r="C8" s="183" t="s">
        <v>287</v>
      </c>
      <c r="D8" s="122" t="s">
        <v>288</v>
      </c>
      <c r="E8" s="122" t="s">
        <v>289</v>
      </c>
      <c r="F8" s="122" t="s">
        <v>290</v>
      </c>
      <c r="G8" s="122" t="s">
        <v>291</v>
      </c>
      <c r="H8" s="122" t="s">
        <v>292</v>
      </c>
      <c r="I8" s="122" t="s">
        <v>293</v>
      </c>
      <c r="J8" s="122" t="s">
        <v>294</v>
      </c>
      <c r="K8" s="122" t="s">
        <v>295</v>
      </c>
      <c r="L8" s="122" t="s">
        <v>296</v>
      </c>
      <c r="M8" s="184" t="s">
        <v>297</v>
      </c>
      <c r="N8" s="199" t="s">
        <v>233</v>
      </c>
    </row>
    <row r="9" spans="1:14" s="175" customFormat="1" ht="25.5">
      <c r="A9" s="185" t="s">
        <v>298</v>
      </c>
      <c r="B9" s="186"/>
      <c r="C9" s="186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2.75">
      <c r="A10" s="119" t="s">
        <v>299</v>
      </c>
      <c r="B10" s="187">
        <v>2599</v>
      </c>
      <c r="C10" s="187"/>
      <c r="D10" s="129">
        <v>1993</v>
      </c>
      <c r="E10" s="129">
        <v>47787</v>
      </c>
      <c r="F10" s="129"/>
      <c r="G10" s="129">
        <v>4343</v>
      </c>
      <c r="H10" s="129">
        <v>5676</v>
      </c>
      <c r="I10" s="129">
        <v>1753</v>
      </c>
      <c r="J10" s="129">
        <v>2993.33</v>
      </c>
      <c r="K10" s="129">
        <v>1791</v>
      </c>
      <c r="L10" s="188">
        <f>SUM(B10:K10)</f>
        <v>68935.33</v>
      </c>
      <c r="M10" s="189">
        <v>40665</v>
      </c>
      <c r="N10" s="200">
        <f>36.2339+219.86167+44.78733</f>
        <v>300.8829</v>
      </c>
    </row>
    <row r="11" spans="1:14" ht="12.75">
      <c r="A11" s="119" t="s">
        <v>300</v>
      </c>
      <c r="B11" s="187">
        <v>165282.9</v>
      </c>
      <c r="C11" s="187">
        <v>52619.03</v>
      </c>
      <c r="D11" s="129">
        <f>'[1]хабар'!F241</f>
        <v>168074.2</v>
      </c>
      <c r="E11" s="129">
        <v>61963.29</v>
      </c>
      <c r="F11" s="129">
        <f>'[1]шашикман'!F17</f>
        <v>53531</v>
      </c>
      <c r="G11" s="129">
        <v>8123.28</v>
      </c>
      <c r="H11" s="129">
        <v>74775</v>
      </c>
      <c r="I11" s="129">
        <v>22988.69</v>
      </c>
      <c r="J11" s="129">
        <f>'[1]теньга'!F60+38551.12+4000</f>
        <v>213776.12</v>
      </c>
      <c r="K11" s="129">
        <f>'[1]ело'!F43</f>
        <v>29201</v>
      </c>
      <c r="L11" s="188">
        <f>SUM(B11:K11)</f>
        <v>850334.5099999999</v>
      </c>
      <c r="M11" s="190">
        <v>850334.51</v>
      </c>
      <c r="N11" s="190">
        <f>152.485+84.773</f>
        <v>237.258</v>
      </c>
    </row>
    <row r="12" spans="1:14" ht="12.75">
      <c r="A12" s="119" t="s">
        <v>301</v>
      </c>
      <c r="B12" s="187">
        <f>'[1]иня'!F59</f>
        <v>55388</v>
      </c>
      <c r="C12" s="187">
        <f>'[1]купчегень'!F34</f>
        <v>53996.560000000005</v>
      </c>
      <c r="D12" s="129">
        <v>29345.3</v>
      </c>
      <c r="E12" s="129">
        <f>'[1]онгудай'!G434</f>
        <v>98725</v>
      </c>
      <c r="F12" s="129">
        <f>'[1]шашикман'!F16</f>
        <v>14721</v>
      </c>
      <c r="G12" s="129">
        <f>'[1]н-талда'!F40</f>
        <v>33716.33</v>
      </c>
      <c r="H12" s="129">
        <f>76595*2</f>
        <v>153190</v>
      </c>
      <c r="I12" s="129">
        <f>'[1]кулада'!F40</f>
        <v>40665</v>
      </c>
      <c r="J12" s="129">
        <f>'[1]теньга'!F61+50000</f>
        <v>141375</v>
      </c>
      <c r="K12" s="129">
        <f>'[1]ело'!F118</f>
        <v>68187.596488</v>
      </c>
      <c r="L12" s="188">
        <f>SUM(B12:K12)</f>
        <v>689309.786488</v>
      </c>
      <c r="M12" s="190">
        <v>689309.79</v>
      </c>
      <c r="N12" s="200">
        <f>541.76967</f>
        <v>541.76967</v>
      </c>
    </row>
    <row r="13" spans="1:14" ht="12.75">
      <c r="A13" s="119" t="s">
        <v>302</v>
      </c>
      <c r="B13" s="187"/>
      <c r="C13" s="187"/>
      <c r="D13" s="129"/>
      <c r="E13" s="129"/>
      <c r="F13" s="129"/>
      <c r="G13" s="129"/>
      <c r="H13" s="129"/>
      <c r="I13" s="129"/>
      <c r="J13" s="129"/>
      <c r="K13" s="129"/>
      <c r="L13" s="188"/>
      <c r="M13" s="190"/>
      <c r="N13" s="201">
        <v>359.237</v>
      </c>
    </row>
    <row r="14" spans="1:14" s="175" customFormat="1" ht="25.5" customHeight="1">
      <c r="A14" s="191" t="s">
        <v>303</v>
      </c>
      <c r="B14" s="192">
        <f>SUM(B10:B12)</f>
        <v>223269.9</v>
      </c>
      <c r="C14" s="192">
        <f aca="true" t="shared" si="0" ref="C14:K14">SUM(C10:C12)</f>
        <v>106615.59</v>
      </c>
      <c r="D14" s="173">
        <f>SUM(D10:D12)</f>
        <v>199412.5</v>
      </c>
      <c r="E14" s="173">
        <f t="shared" si="0"/>
        <v>208475.29</v>
      </c>
      <c r="F14" s="173">
        <f t="shared" si="0"/>
        <v>68252</v>
      </c>
      <c r="G14" s="173">
        <f t="shared" si="0"/>
        <v>46182.61</v>
      </c>
      <c r="H14" s="173">
        <f t="shared" si="0"/>
        <v>233641</v>
      </c>
      <c r="I14" s="173">
        <f t="shared" si="0"/>
        <v>65406.69</v>
      </c>
      <c r="J14" s="173">
        <f t="shared" si="0"/>
        <v>358144.44999999995</v>
      </c>
      <c r="K14" s="173">
        <f t="shared" si="0"/>
        <v>99179.596488</v>
      </c>
      <c r="L14" s="193">
        <f>SUM(B14:K14)</f>
        <v>1608579.626488</v>
      </c>
      <c r="M14" s="194">
        <f>SUM(M10:M12)</f>
        <v>1580309.3</v>
      </c>
      <c r="N14" s="195">
        <f>SUM(N10:N13)</f>
        <v>1439.14757</v>
      </c>
    </row>
    <row r="15" spans="1:14" ht="25.5">
      <c r="A15" s="185" t="s">
        <v>304</v>
      </c>
      <c r="B15" s="187"/>
      <c r="C15" s="187"/>
      <c r="D15" s="129"/>
      <c r="E15" s="129"/>
      <c r="F15" s="129"/>
      <c r="G15" s="129"/>
      <c r="H15" s="129"/>
      <c r="I15" s="129"/>
      <c r="J15" s="129"/>
      <c r="K15" s="129"/>
      <c r="L15" s="188"/>
      <c r="M15" s="190"/>
      <c r="N15" s="190"/>
    </row>
    <row r="16" spans="1:14" ht="12.75">
      <c r="A16" s="119" t="s">
        <v>299</v>
      </c>
      <c r="B16" s="187"/>
      <c r="C16" s="187"/>
      <c r="D16" s="129"/>
      <c r="E16" s="129"/>
      <c r="F16" s="129"/>
      <c r="G16" s="129"/>
      <c r="H16" s="129"/>
      <c r="I16" s="129"/>
      <c r="J16" s="129"/>
      <c r="K16" s="129"/>
      <c r="L16" s="188"/>
      <c r="M16" s="190"/>
      <c r="N16" s="190"/>
    </row>
    <row r="17" spans="1:14" ht="12.75">
      <c r="A17" s="119" t="s">
        <v>300</v>
      </c>
      <c r="B17" s="187"/>
      <c r="C17" s="187"/>
      <c r="D17" s="129"/>
      <c r="E17" s="129"/>
      <c r="F17" s="129"/>
      <c r="G17" s="129"/>
      <c r="H17" s="129"/>
      <c r="I17" s="129"/>
      <c r="J17" s="129"/>
      <c r="K17" s="129"/>
      <c r="L17" s="188"/>
      <c r="M17" s="190"/>
      <c r="N17" s="190">
        <f>N11*1.2-N11-40-10</f>
        <v>-2.5483999999999867</v>
      </c>
    </row>
    <row r="18" spans="1:14" ht="12.75">
      <c r="A18" s="119" t="s">
        <v>301</v>
      </c>
      <c r="B18" s="187"/>
      <c r="C18" s="187"/>
      <c r="D18" s="129"/>
      <c r="E18" s="129"/>
      <c r="F18" s="129"/>
      <c r="G18" s="129"/>
      <c r="H18" s="129"/>
      <c r="I18" s="129"/>
      <c r="J18" s="129"/>
      <c r="K18" s="129"/>
      <c r="L18" s="188"/>
      <c r="M18" s="190"/>
      <c r="N18" s="190">
        <f>N12*1.5-N12-137-39.21-9-5</f>
        <v>80.67483499999994</v>
      </c>
    </row>
    <row r="19" spans="1:14" ht="12.75">
      <c r="A19" s="119" t="s">
        <v>302</v>
      </c>
      <c r="B19" s="187"/>
      <c r="C19" s="187"/>
      <c r="D19" s="129"/>
      <c r="E19" s="129"/>
      <c r="F19" s="129"/>
      <c r="G19" s="129"/>
      <c r="H19" s="129"/>
      <c r="I19" s="129"/>
      <c r="J19" s="129"/>
      <c r="K19" s="129"/>
      <c r="L19" s="188"/>
      <c r="M19" s="190"/>
      <c r="N19" s="190"/>
    </row>
    <row r="20" spans="1:14" ht="12.75">
      <c r="A20" s="119" t="s">
        <v>303</v>
      </c>
      <c r="B20" s="196"/>
      <c r="C20" s="196"/>
      <c r="D20" s="177"/>
      <c r="E20" s="177"/>
      <c r="F20" s="177"/>
      <c r="G20" s="177"/>
      <c r="H20" s="177"/>
      <c r="I20" s="177"/>
      <c r="J20" s="177"/>
      <c r="K20" s="177"/>
      <c r="L20" s="177"/>
      <c r="M20" s="122"/>
      <c r="N20" s="135">
        <f>SUM(N16:N19)</f>
        <v>78.12643499999996</v>
      </c>
    </row>
    <row r="21" spans="1:14" ht="12.75">
      <c r="A21" s="119"/>
      <c r="B21" s="196"/>
      <c r="C21" s="196"/>
      <c r="D21" s="177"/>
      <c r="E21" s="177"/>
      <c r="F21" s="177"/>
      <c r="G21" s="177"/>
      <c r="H21" s="177"/>
      <c r="I21" s="177"/>
      <c r="J21" s="177"/>
      <c r="K21" s="177"/>
      <c r="L21" s="177"/>
      <c r="M21" s="122"/>
      <c r="N21" s="122"/>
    </row>
    <row r="22" spans="1:14" ht="12.75">
      <c r="A22" s="119" t="s">
        <v>305</v>
      </c>
      <c r="B22" s="196"/>
      <c r="C22" s="196"/>
      <c r="D22" s="177"/>
      <c r="E22" s="177"/>
      <c r="F22" s="177"/>
      <c r="G22" s="177"/>
      <c r="H22" s="177"/>
      <c r="I22" s="177"/>
      <c r="J22" s="177"/>
      <c r="K22" s="177"/>
      <c r="L22" s="177"/>
      <c r="M22" s="122"/>
      <c r="N22" s="195">
        <f>N14+N20</f>
        <v>1517.274005</v>
      </c>
    </row>
    <row r="23" spans="1:14" ht="12.75">
      <c r="A23" s="119" t="s">
        <v>306</v>
      </c>
      <c r="B23" s="196"/>
      <c r="C23" s="196"/>
      <c r="D23" s="177"/>
      <c r="E23" s="177"/>
      <c r="F23" s="177"/>
      <c r="G23" s="177"/>
      <c r="H23" s="177"/>
      <c r="I23" s="177"/>
      <c r="J23" s="177"/>
      <c r="K23" s="177"/>
      <c r="L23" s="177"/>
      <c r="M23" s="122"/>
      <c r="N23" s="195">
        <f>N22*100%</f>
        <v>1517.274005</v>
      </c>
    </row>
    <row r="24" spans="2:4" ht="12.75">
      <c r="B24" s="179">
        <v>1200</v>
      </c>
      <c r="C24" s="179">
        <v>567</v>
      </c>
      <c r="D24">
        <f aca="true" t="shared" si="1" ref="D24:D76">C24*3</f>
        <v>1701</v>
      </c>
    </row>
    <row r="25" spans="1:14" ht="46.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</row>
    <row r="26" spans="2:4" ht="12.75">
      <c r="B26" s="179">
        <v>1445</v>
      </c>
      <c r="C26" s="179">
        <v>682</v>
      </c>
      <c r="D26">
        <f t="shared" si="1"/>
        <v>2046</v>
      </c>
    </row>
    <row r="27" spans="2:14" ht="12.75">
      <c r="B27" s="179">
        <v>2999</v>
      </c>
      <c r="C27" s="179">
        <v>1416</v>
      </c>
      <c r="D27">
        <f t="shared" si="1"/>
        <v>4248</v>
      </c>
      <c r="N27" s="169"/>
    </row>
    <row r="28" spans="2:4" ht="12.75">
      <c r="B28" s="179">
        <v>1255</v>
      </c>
      <c r="C28" s="179">
        <v>592</v>
      </c>
      <c r="D28">
        <f t="shared" si="1"/>
        <v>1776</v>
      </c>
    </row>
    <row r="29" spans="2:4" ht="12.75">
      <c r="B29" s="179">
        <v>1424</v>
      </c>
      <c r="C29" s="179">
        <v>672</v>
      </c>
      <c r="D29">
        <f t="shared" si="1"/>
        <v>2016</v>
      </c>
    </row>
    <row r="30" spans="2:4" ht="12.75">
      <c r="B30" s="179">
        <v>2978</v>
      </c>
      <c r="C30" s="179">
        <v>1406</v>
      </c>
      <c r="D30">
        <f t="shared" si="1"/>
        <v>4218</v>
      </c>
    </row>
    <row r="31" spans="2:4" ht="12.75">
      <c r="B31" s="179">
        <v>2179</v>
      </c>
      <c r="C31" s="179">
        <v>1029</v>
      </c>
      <c r="D31">
        <f t="shared" si="1"/>
        <v>3087</v>
      </c>
    </row>
    <row r="32" spans="2:4" ht="12.75">
      <c r="B32" s="179">
        <v>1480</v>
      </c>
      <c r="C32" s="179">
        <v>699</v>
      </c>
      <c r="D32">
        <f t="shared" si="1"/>
        <v>2097</v>
      </c>
    </row>
    <row r="33" spans="2:4" ht="12.75">
      <c r="B33" s="179">
        <v>1391</v>
      </c>
      <c r="C33" s="179">
        <v>657</v>
      </c>
      <c r="D33">
        <f t="shared" si="1"/>
        <v>1971</v>
      </c>
    </row>
    <row r="34" spans="2:4" ht="12.75">
      <c r="B34" s="179">
        <v>1499</v>
      </c>
      <c r="C34" s="179">
        <v>708</v>
      </c>
      <c r="D34">
        <f t="shared" si="1"/>
        <v>2124</v>
      </c>
    </row>
    <row r="35" spans="2:4" ht="12.75">
      <c r="B35" s="179">
        <v>1500</v>
      </c>
      <c r="C35" s="179">
        <v>708</v>
      </c>
      <c r="D35">
        <f t="shared" si="1"/>
        <v>2124</v>
      </c>
    </row>
    <row r="36" spans="2:4" ht="12.75">
      <c r="B36" s="179">
        <v>1043</v>
      </c>
      <c r="C36" s="179">
        <v>492</v>
      </c>
      <c r="D36">
        <f t="shared" si="1"/>
        <v>1476</v>
      </c>
    </row>
    <row r="37" spans="2:4" ht="12.75">
      <c r="B37" s="179">
        <v>1500</v>
      </c>
      <c r="C37" s="179">
        <v>708</v>
      </c>
      <c r="D37">
        <f t="shared" si="1"/>
        <v>2124</v>
      </c>
    </row>
    <row r="38" spans="2:4" ht="12.75">
      <c r="B38" s="179">
        <v>1269</v>
      </c>
      <c r="C38" s="179">
        <v>599</v>
      </c>
      <c r="D38">
        <f t="shared" si="1"/>
        <v>1797</v>
      </c>
    </row>
    <row r="39" spans="2:4" ht="12.75">
      <c r="B39" s="179">
        <v>1499</v>
      </c>
      <c r="C39" s="179">
        <v>708</v>
      </c>
      <c r="D39">
        <f t="shared" si="1"/>
        <v>2124</v>
      </c>
    </row>
    <row r="40" spans="2:4" ht="12.75">
      <c r="B40" s="179">
        <v>1269</v>
      </c>
      <c r="C40" s="179">
        <v>612</v>
      </c>
      <c r="D40">
        <f t="shared" si="1"/>
        <v>1836</v>
      </c>
    </row>
    <row r="41" spans="2:4" ht="12.75">
      <c r="B41" s="179">
        <v>1424</v>
      </c>
      <c r="C41" s="179">
        <v>672</v>
      </c>
      <c r="D41">
        <f t="shared" si="1"/>
        <v>2016</v>
      </c>
    </row>
    <row r="42" spans="2:4" ht="12.75">
      <c r="B42" s="179">
        <v>1230</v>
      </c>
      <c r="C42" s="179">
        <v>581</v>
      </c>
      <c r="D42">
        <f t="shared" si="1"/>
        <v>1743</v>
      </c>
    </row>
    <row r="43" spans="2:4" ht="12.75">
      <c r="B43" s="179">
        <v>1611</v>
      </c>
      <c r="C43" s="179">
        <v>761</v>
      </c>
      <c r="D43">
        <f t="shared" si="1"/>
        <v>2283</v>
      </c>
    </row>
    <row r="44" spans="2:4" ht="12.75">
      <c r="B44" s="179">
        <v>1500</v>
      </c>
      <c r="C44" s="179">
        <v>708</v>
      </c>
      <c r="D44">
        <f t="shared" si="1"/>
        <v>2124</v>
      </c>
    </row>
    <row r="45" spans="2:4" ht="12.75">
      <c r="B45" s="179">
        <v>1500</v>
      </c>
      <c r="C45" s="179">
        <v>708</v>
      </c>
      <c r="D45">
        <f t="shared" si="1"/>
        <v>2124</v>
      </c>
    </row>
    <row r="46" spans="2:4" ht="12.75">
      <c r="B46" s="179">
        <v>600</v>
      </c>
      <c r="C46" s="179">
        <v>204</v>
      </c>
      <c r="D46">
        <f t="shared" si="1"/>
        <v>612</v>
      </c>
    </row>
    <row r="47" spans="2:4" ht="12.75">
      <c r="B47" s="179">
        <v>1504</v>
      </c>
      <c r="C47" s="179">
        <v>710</v>
      </c>
      <c r="D47">
        <f t="shared" si="1"/>
        <v>2130</v>
      </c>
    </row>
    <row r="48" spans="2:4" ht="12.75">
      <c r="B48" s="179">
        <v>1543</v>
      </c>
      <c r="C48" s="179">
        <v>728</v>
      </c>
      <c r="D48">
        <f t="shared" si="1"/>
        <v>2184</v>
      </c>
    </row>
    <row r="49" spans="2:4" ht="12.75">
      <c r="B49" s="179">
        <v>1500</v>
      </c>
      <c r="C49" s="179">
        <v>708</v>
      </c>
      <c r="D49">
        <f t="shared" si="1"/>
        <v>2124</v>
      </c>
    </row>
    <row r="50" spans="2:4" ht="12.75">
      <c r="B50" s="179">
        <v>1500</v>
      </c>
      <c r="C50" s="179">
        <v>708</v>
      </c>
      <c r="D50">
        <f t="shared" si="1"/>
        <v>2124</v>
      </c>
    </row>
    <row r="51" spans="2:4" ht="12.75">
      <c r="B51" s="179">
        <v>1501</v>
      </c>
      <c r="C51" s="179">
        <v>709</v>
      </c>
      <c r="D51">
        <f t="shared" si="1"/>
        <v>2127</v>
      </c>
    </row>
    <row r="52" spans="2:4" ht="12.75">
      <c r="B52" s="179">
        <v>1030</v>
      </c>
      <c r="C52" s="179">
        <v>486</v>
      </c>
      <c r="D52">
        <f t="shared" si="1"/>
        <v>1458</v>
      </c>
    </row>
    <row r="53" spans="2:4" ht="12.75">
      <c r="B53" s="179">
        <v>2509</v>
      </c>
      <c r="C53" s="179">
        <v>1184</v>
      </c>
      <c r="D53">
        <f t="shared" si="1"/>
        <v>3552</v>
      </c>
    </row>
    <row r="54" spans="2:4" ht="12.75">
      <c r="B54" s="179">
        <v>1346</v>
      </c>
      <c r="C54" s="179">
        <v>635</v>
      </c>
      <c r="D54">
        <f t="shared" si="1"/>
        <v>1905</v>
      </c>
    </row>
    <row r="55" spans="2:4" ht="12.75">
      <c r="B55" s="179">
        <v>1500</v>
      </c>
      <c r="C55" s="179">
        <v>708</v>
      </c>
      <c r="D55">
        <f t="shared" si="1"/>
        <v>2124</v>
      </c>
    </row>
    <row r="56" spans="2:4" ht="12.75">
      <c r="B56" s="179">
        <v>1500</v>
      </c>
      <c r="C56" s="179">
        <v>708</v>
      </c>
      <c r="D56">
        <f t="shared" si="1"/>
        <v>2124</v>
      </c>
    </row>
    <row r="57" spans="2:4" ht="12.75">
      <c r="B57" s="179">
        <v>1470</v>
      </c>
      <c r="C57" s="179">
        <v>694</v>
      </c>
      <c r="D57">
        <f t="shared" si="1"/>
        <v>2082</v>
      </c>
    </row>
    <row r="58" spans="2:4" ht="12.75">
      <c r="B58" s="179">
        <v>1500</v>
      </c>
      <c r="C58" s="179">
        <v>708</v>
      </c>
      <c r="D58">
        <f t="shared" si="1"/>
        <v>2124</v>
      </c>
    </row>
    <row r="59" spans="2:4" ht="12.75">
      <c r="B59" s="179">
        <v>1170</v>
      </c>
      <c r="C59" s="179">
        <v>552</v>
      </c>
      <c r="D59">
        <f t="shared" si="1"/>
        <v>1656</v>
      </c>
    </row>
    <row r="60" spans="2:4" ht="12.75">
      <c r="B60" s="179">
        <v>2652</v>
      </c>
      <c r="C60" s="179">
        <v>830</v>
      </c>
      <c r="D60">
        <f t="shared" si="1"/>
        <v>2490</v>
      </c>
    </row>
    <row r="61" spans="2:4" ht="12.75">
      <c r="B61" s="179">
        <v>1500</v>
      </c>
      <c r="C61" s="179">
        <v>708</v>
      </c>
      <c r="D61">
        <f t="shared" si="1"/>
        <v>2124</v>
      </c>
    </row>
    <row r="62" spans="2:4" ht="12.75">
      <c r="B62" s="179">
        <v>1264</v>
      </c>
      <c r="C62" s="179">
        <v>597</v>
      </c>
      <c r="D62">
        <f t="shared" si="1"/>
        <v>1791</v>
      </c>
    </row>
    <row r="63" spans="2:4" ht="12.75">
      <c r="B63" s="179">
        <v>752</v>
      </c>
      <c r="C63" s="179">
        <v>355</v>
      </c>
      <c r="D63">
        <f t="shared" si="1"/>
        <v>1065</v>
      </c>
    </row>
    <row r="64" spans="2:4" ht="12.75">
      <c r="B64" s="179">
        <v>1619</v>
      </c>
      <c r="C64" s="179">
        <v>764</v>
      </c>
      <c r="D64">
        <f t="shared" si="1"/>
        <v>2292</v>
      </c>
    </row>
    <row r="65" spans="2:4" ht="12.75">
      <c r="B65" s="179">
        <v>1001</v>
      </c>
      <c r="C65" s="179">
        <v>473</v>
      </c>
      <c r="D65">
        <f t="shared" si="1"/>
        <v>1419</v>
      </c>
    </row>
    <row r="66" spans="2:4" ht="12.75">
      <c r="B66" s="179">
        <v>1500</v>
      </c>
      <c r="C66" s="179">
        <v>708</v>
      </c>
      <c r="D66">
        <f t="shared" si="1"/>
        <v>2124</v>
      </c>
    </row>
    <row r="67" spans="2:4" ht="12.75">
      <c r="B67" s="179">
        <v>1500</v>
      </c>
      <c r="C67" s="179">
        <v>708</v>
      </c>
      <c r="D67">
        <f t="shared" si="1"/>
        <v>2124</v>
      </c>
    </row>
    <row r="68" spans="2:4" ht="12.75">
      <c r="B68" s="179">
        <v>1500</v>
      </c>
      <c r="C68" s="179">
        <v>708</v>
      </c>
      <c r="D68">
        <f t="shared" si="1"/>
        <v>2124</v>
      </c>
    </row>
    <row r="69" spans="2:4" ht="12.75">
      <c r="B69" s="179">
        <v>1500</v>
      </c>
      <c r="C69" s="179">
        <v>708</v>
      </c>
      <c r="D69">
        <f t="shared" si="1"/>
        <v>2124</v>
      </c>
    </row>
    <row r="70" spans="2:4" ht="12.75">
      <c r="B70" s="179">
        <v>1938</v>
      </c>
      <c r="C70" s="179">
        <v>915</v>
      </c>
      <c r="D70">
        <f t="shared" si="1"/>
        <v>2745</v>
      </c>
    </row>
    <row r="71" spans="2:4" ht="12.75">
      <c r="B71" s="179">
        <v>1500</v>
      </c>
      <c r="C71" s="179">
        <v>708</v>
      </c>
      <c r="D71">
        <f t="shared" si="1"/>
        <v>2124</v>
      </c>
    </row>
    <row r="72" spans="2:4" ht="12.75">
      <c r="B72" s="179">
        <v>1500</v>
      </c>
      <c r="C72" s="179">
        <v>708</v>
      </c>
      <c r="D72">
        <f t="shared" si="1"/>
        <v>2124</v>
      </c>
    </row>
    <row r="73" spans="2:4" ht="12.75">
      <c r="B73" s="179">
        <v>1500</v>
      </c>
      <c r="C73" s="179">
        <v>708</v>
      </c>
      <c r="D73">
        <f t="shared" si="1"/>
        <v>2124</v>
      </c>
    </row>
    <row r="74" spans="2:4" ht="12.75">
      <c r="B74" s="179">
        <v>1217</v>
      </c>
      <c r="C74" s="179">
        <v>574</v>
      </c>
      <c r="D74">
        <f t="shared" si="1"/>
        <v>1722</v>
      </c>
    </row>
    <row r="75" spans="2:4" ht="12.75">
      <c r="B75" s="179">
        <v>1300</v>
      </c>
      <c r="C75" s="179">
        <v>614</v>
      </c>
      <c r="D75">
        <f t="shared" si="1"/>
        <v>1842</v>
      </c>
    </row>
    <row r="76" spans="2:4" ht="12.75">
      <c r="B76" s="179">
        <v>1500</v>
      </c>
      <c r="C76" s="179">
        <v>708</v>
      </c>
      <c r="D76">
        <f t="shared" si="1"/>
        <v>2124</v>
      </c>
    </row>
    <row r="77" ht="12.75">
      <c r="C77" s="179">
        <f>SUM(C24:C76)</f>
        <v>36621</v>
      </c>
    </row>
  </sheetData>
  <sheetProtection/>
  <mergeCells count="3">
    <mergeCell ref="A4:N5"/>
    <mergeCell ref="A25:N25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">
      <selection activeCell="O31" sqref="O31"/>
    </sheetView>
  </sheetViews>
  <sheetFormatPr defaultColWidth="9.140625" defaultRowHeight="12.75"/>
  <cols>
    <col min="1" max="1" width="5.57421875" style="0" customWidth="1"/>
    <col min="2" max="2" width="38.140625" style="0" customWidth="1"/>
    <col min="3" max="3" width="31.140625" style="0" customWidth="1"/>
    <col min="4" max="4" width="15.421875" style="0" customWidth="1"/>
    <col min="5" max="5" width="19.7109375" style="0" customWidth="1"/>
    <col min="6" max="6" width="17.421875" style="0" hidden="1" customWidth="1"/>
    <col min="7" max="7" width="15.7109375" style="0" hidden="1" customWidth="1"/>
    <col min="8" max="8" width="15.00390625" style="0" hidden="1" customWidth="1"/>
    <col min="9" max="9" width="0" style="0" hidden="1" customWidth="1"/>
    <col min="10" max="10" width="13.140625" style="0" bestFit="1" customWidth="1"/>
  </cols>
  <sheetData>
    <row r="1" spans="4:5" ht="12.75">
      <c r="D1" s="272" t="s">
        <v>366</v>
      </c>
      <c r="E1" s="272"/>
    </row>
    <row r="2" spans="4:6" ht="12.75" customHeight="1">
      <c r="D2" s="273" t="s">
        <v>318</v>
      </c>
      <c r="E2" s="273"/>
      <c r="F2" s="157"/>
    </row>
    <row r="3" spans="4:6" ht="57" customHeight="1">
      <c r="D3" s="273"/>
      <c r="E3" s="273"/>
      <c r="F3" s="157"/>
    </row>
    <row r="4" spans="4:6" ht="12.75">
      <c r="D4" s="157"/>
      <c r="E4" s="157"/>
      <c r="F4" s="157"/>
    </row>
    <row r="5" spans="2:6" ht="12.75">
      <c r="B5" s="274" t="s">
        <v>319</v>
      </c>
      <c r="C5" s="274"/>
      <c r="D5" s="274"/>
      <c r="E5" s="159"/>
      <c r="F5" s="159"/>
    </row>
    <row r="6" spans="2:6" ht="12.75">
      <c r="B6" s="274"/>
      <c r="C6" s="274"/>
      <c r="D6" s="274"/>
      <c r="E6" s="159"/>
      <c r="F6" s="159"/>
    </row>
    <row r="7" spans="2:6" ht="12.75">
      <c r="B7" s="158"/>
      <c r="C7" s="158"/>
      <c r="D7" s="158"/>
      <c r="E7" s="159"/>
      <c r="F7" s="159"/>
    </row>
    <row r="8" ht="13.5" thickBot="1"/>
    <row r="9" spans="1:8" ht="45">
      <c r="A9" s="160" t="s">
        <v>266</v>
      </c>
      <c r="B9" s="161" t="s">
        <v>267</v>
      </c>
      <c r="C9" s="161" t="s">
        <v>268</v>
      </c>
      <c r="D9" s="161" t="s">
        <v>269</v>
      </c>
      <c r="E9" s="161" t="s">
        <v>270</v>
      </c>
      <c r="F9" s="161" t="s">
        <v>271</v>
      </c>
      <c r="G9" s="162" t="s">
        <v>272</v>
      </c>
      <c r="H9" s="163" t="s">
        <v>273</v>
      </c>
    </row>
    <row r="10" spans="1:11" ht="15.75">
      <c r="A10" s="164">
        <v>1</v>
      </c>
      <c r="B10" s="165" t="s">
        <v>274</v>
      </c>
      <c r="C10" s="166" t="s">
        <v>275</v>
      </c>
      <c r="D10" s="167">
        <v>1500</v>
      </c>
      <c r="E10" s="167">
        <f aca="true" t="shared" si="0" ref="E10:E16">D10*12</f>
        <v>18000</v>
      </c>
      <c r="F10" s="168">
        <v>40543</v>
      </c>
      <c r="G10" s="167">
        <v>11016</v>
      </c>
      <c r="H10" s="167">
        <f>E10-G10</f>
        <v>6984</v>
      </c>
      <c r="I10">
        <f>3*D10</f>
        <v>4500</v>
      </c>
      <c r="J10" s="169"/>
      <c r="K10" s="169"/>
    </row>
    <row r="11" spans="1:11" ht="47.25">
      <c r="A11" s="164">
        <f aca="true" t="shared" si="1" ref="A11:A16">A10+1</f>
        <v>2</v>
      </c>
      <c r="B11" s="166" t="s">
        <v>276</v>
      </c>
      <c r="C11" s="166" t="s">
        <v>277</v>
      </c>
      <c r="D11" s="167">
        <v>3000</v>
      </c>
      <c r="E11" s="167">
        <f t="shared" si="0"/>
        <v>36000</v>
      </c>
      <c r="F11" s="166"/>
      <c r="G11" s="170"/>
      <c r="H11" s="167"/>
      <c r="J11" s="169"/>
      <c r="K11" s="169"/>
    </row>
    <row r="12" spans="1:11" ht="31.5">
      <c r="A12" s="164">
        <f t="shared" si="1"/>
        <v>3</v>
      </c>
      <c r="B12" s="166" t="s">
        <v>278</v>
      </c>
      <c r="C12" s="166" t="s">
        <v>279</v>
      </c>
      <c r="D12" s="167">
        <v>2979</v>
      </c>
      <c r="E12" s="167">
        <f t="shared" si="0"/>
        <v>35748</v>
      </c>
      <c r="F12" s="171">
        <v>40543</v>
      </c>
      <c r="G12" s="170">
        <v>47344</v>
      </c>
      <c r="H12" s="170"/>
      <c r="J12" s="169"/>
      <c r="K12" s="169"/>
    </row>
    <row r="13" spans="1:11" ht="15.75">
      <c r="A13" s="164">
        <f t="shared" si="1"/>
        <v>4</v>
      </c>
      <c r="B13" s="166" t="s">
        <v>280</v>
      </c>
      <c r="C13" s="166" t="s">
        <v>281</v>
      </c>
      <c r="D13" s="167">
        <v>3000</v>
      </c>
      <c r="E13" s="167">
        <f t="shared" si="0"/>
        <v>36000</v>
      </c>
      <c r="F13" s="171">
        <v>40543</v>
      </c>
      <c r="G13" s="170">
        <v>23976</v>
      </c>
      <c r="H13" s="170">
        <v>0</v>
      </c>
      <c r="J13" s="169"/>
      <c r="K13" s="169"/>
    </row>
    <row r="14" spans="1:11" ht="15.75" customHeight="1">
      <c r="A14" s="164">
        <f t="shared" si="1"/>
        <v>5</v>
      </c>
      <c r="B14" s="166" t="s">
        <v>282</v>
      </c>
      <c r="C14" s="166" t="s">
        <v>281</v>
      </c>
      <c r="D14" s="167">
        <v>2000</v>
      </c>
      <c r="E14" s="167">
        <f t="shared" si="0"/>
        <v>24000</v>
      </c>
      <c r="F14" s="171">
        <v>40543</v>
      </c>
      <c r="G14" s="170">
        <v>19579</v>
      </c>
      <c r="H14" s="170">
        <v>13985</v>
      </c>
      <c r="J14" s="169"/>
      <c r="K14" s="169"/>
    </row>
    <row r="15" spans="1:11" ht="58.5" customHeight="1">
      <c r="A15" s="164">
        <f t="shared" si="1"/>
        <v>6</v>
      </c>
      <c r="B15" s="166" t="s">
        <v>283</v>
      </c>
      <c r="C15" s="166" t="s">
        <v>281</v>
      </c>
      <c r="D15" s="167">
        <v>2700</v>
      </c>
      <c r="E15" s="167">
        <f t="shared" si="0"/>
        <v>32400</v>
      </c>
      <c r="F15" s="171"/>
      <c r="G15" s="170"/>
      <c r="H15" s="170"/>
      <c r="J15" s="169"/>
      <c r="K15" s="169"/>
    </row>
    <row r="16" spans="1:11" ht="58.5" customHeight="1">
      <c r="A16" s="164">
        <f t="shared" si="1"/>
        <v>7</v>
      </c>
      <c r="B16" s="166" t="s">
        <v>320</v>
      </c>
      <c r="C16" s="166" t="s">
        <v>321</v>
      </c>
      <c r="D16" s="167">
        <v>1000</v>
      </c>
      <c r="E16" s="167">
        <f t="shared" si="0"/>
        <v>12000</v>
      </c>
      <c r="F16" s="171"/>
      <c r="G16" s="170"/>
      <c r="H16" s="170"/>
      <c r="J16" s="169"/>
      <c r="K16" s="169"/>
    </row>
    <row r="17" spans="1:10" s="175" customFormat="1" ht="12.75">
      <c r="A17" s="172"/>
      <c r="B17" s="172"/>
      <c r="C17" s="172"/>
      <c r="D17" s="173">
        <f>SUM(D10:D16)</f>
        <v>16179</v>
      </c>
      <c r="E17" s="174">
        <f>SUM(E10:E16)</f>
        <v>194148</v>
      </c>
      <c r="F17" s="172"/>
      <c r="G17" s="172"/>
      <c r="H17" s="172"/>
      <c r="J17" s="176"/>
    </row>
    <row r="18" spans="4:5" ht="12.75">
      <c r="D18" s="177"/>
      <c r="E18" s="284">
        <f>E17/1000</f>
        <v>194.148</v>
      </c>
    </row>
    <row r="19" ht="12.75">
      <c r="E19" s="177"/>
    </row>
    <row r="20" ht="12.75">
      <c r="E20" s="169"/>
    </row>
  </sheetData>
  <sheetProtection/>
  <mergeCells count="3">
    <mergeCell ref="D1:E1"/>
    <mergeCell ref="D2:E3"/>
    <mergeCell ref="B5:D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5.8515625" style="0" customWidth="1"/>
    <col min="3" max="3" width="20.7109375" style="0" customWidth="1"/>
    <col min="4" max="4" width="20.140625" style="0" customWidth="1"/>
    <col min="5" max="5" width="21.421875" style="0" customWidth="1"/>
  </cols>
  <sheetData>
    <row r="1" spans="1:4" ht="15.75">
      <c r="A1" s="275" t="s">
        <v>453</v>
      </c>
      <c r="B1" s="275"/>
      <c r="C1" s="275"/>
      <c r="D1" s="275"/>
    </row>
    <row r="2" spans="1:4" ht="15.75">
      <c r="A2" s="275" t="s">
        <v>454</v>
      </c>
      <c r="B2" s="275"/>
      <c r="C2" s="275"/>
      <c r="D2" s="275"/>
    </row>
    <row r="3" spans="1:4" ht="15.75">
      <c r="A3" s="275" t="s">
        <v>455</v>
      </c>
      <c r="B3" s="275"/>
      <c r="C3" s="275"/>
      <c r="D3" s="275"/>
    </row>
    <row r="4" spans="1:4" ht="15.75">
      <c r="A4" s="275" t="s">
        <v>456</v>
      </c>
      <c r="B4" s="275"/>
      <c r="C4" s="275"/>
      <c r="D4" s="275"/>
    </row>
    <row r="5" spans="1:4" ht="15.75">
      <c r="A5" s="275" t="s">
        <v>457</v>
      </c>
      <c r="B5" s="275"/>
      <c r="C5" s="275"/>
      <c r="D5" s="275"/>
    </row>
    <row r="6" spans="1:4" ht="15">
      <c r="A6" s="283" t="s">
        <v>458</v>
      </c>
      <c r="B6" s="283"/>
      <c r="C6" s="283"/>
      <c r="D6" s="283"/>
    </row>
    <row r="7" spans="1:4" ht="15.75">
      <c r="A7" s="275" t="s">
        <v>457</v>
      </c>
      <c r="B7" s="275"/>
      <c r="C7" s="275"/>
      <c r="D7" s="275"/>
    </row>
    <row r="8" spans="1:4" ht="15.75">
      <c r="A8" s="275" t="s">
        <v>459</v>
      </c>
      <c r="B8" s="275"/>
      <c r="C8" s="275"/>
      <c r="D8" s="275"/>
    </row>
    <row r="9" ht="15.75">
      <c r="A9" s="204" t="s">
        <v>367</v>
      </c>
    </row>
    <row r="10" spans="1:5" ht="47.25">
      <c r="A10" s="211" t="s">
        <v>0</v>
      </c>
      <c r="B10" s="211" t="s">
        <v>368</v>
      </c>
      <c r="C10" s="211">
        <v>2014</v>
      </c>
      <c r="D10" s="211">
        <v>2015</v>
      </c>
      <c r="E10" s="219" t="s">
        <v>463</v>
      </c>
    </row>
    <row r="11" spans="1:5" ht="30.75" customHeight="1">
      <c r="A11" s="276" t="s">
        <v>369</v>
      </c>
      <c r="B11" s="276"/>
      <c r="C11" s="276"/>
      <c r="D11" s="276"/>
      <c r="E11" s="276"/>
    </row>
    <row r="12" spans="1:5" ht="15">
      <c r="A12" s="212" t="s">
        <v>370</v>
      </c>
      <c r="B12" s="213"/>
      <c r="C12" s="213"/>
      <c r="D12" s="213"/>
      <c r="E12" s="213"/>
    </row>
    <row r="13" spans="1:5" ht="30">
      <c r="A13" s="214" t="s">
        <v>371</v>
      </c>
      <c r="B13" s="213" t="s">
        <v>372</v>
      </c>
      <c r="C13" s="217">
        <v>144732.2</v>
      </c>
      <c r="D13" s="217">
        <v>147845.3</v>
      </c>
      <c r="E13" s="217">
        <f>(C13+D13)/2</f>
        <v>146288.75</v>
      </c>
    </row>
    <row r="14" spans="1:5" ht="30">
      <c r="A14" s="214" t="s">
        <v>373</v>
      </c>
      <c r="B14" s="213" t="s">
        <v>372</v>
      </c>
      <c r="C14" s="217">
        <v>305378.1</v>
      </c>
      <c r="D14" s="217">
        <v>315937.8</v>
      </c>
      <c r="E14" s="217">
        <f>(C14+D14)/2</f>
        <v>310657.94999999995</v>
      </c>
    </row>
    <row r="15" spans="1:5" ht="30">
      <c r="A15" s="214" t="s">
        <v>374</v>
      </c>
      <c r="B15" s="213" t="s">
        <v>372</v>
      </c>
      <c r="C15" s="217">
        <v>446407</v>
      </c>
      <c r="D15" s="217"/>
      <c r="E15" s="217"/>
    </row>
    <row r="16" spans="1:5" ht="30">
      <c r="A16" s="214" t="s">
        <v>375</v>
      </c>
      <c r="B16" s="213" t="s">
        <v>372</v>
      </c>
      <c r="C16" s="217">
        <v>618163.7</v>
      </c>
      <c r="D16" s="217"/>
      <c r="E16" s="217"/>
    </row>
    <row r="17" spans="1:5" ht="15">
      <c r="A17" s="214" t="s">
        <v>460</v>
      </c>
      <c r="B17" s="213"/>
      <c r="C17" s="277"/>
      <c r="D17" s="278"/>
      <c r="E17" s="217">
        <f>E14</f>
        <v>310657.94999999995</v>
      </c>
    </row>
    <row r="18" spans="1:5" ht="15">
      <c r="A18" s="214" t="s">
        <v>461</v>
      </c>
      <c r="B18" s="213"/>
      <c r="C18" s="279"/>
      <c r="D18" s="280"/>
      <c r="E18" s="217">
        <f>E17/6</f>
        <v>51776.32499999999</v>
      </c>
    </row>
    <row r="19" spans="1:5" ht="15.75">
      <c r="A19" s="214" t="s">
        <v>462</v>
      </c>
      <c r="B19" s="213"/>
      <c r="C19" s="281"/>
      <c r="D19" s="282"/>
      <c r="E19" s="218">
        <f>E18*12</f>
        <v>621315.8999999999</v>
      </c>
    </row>
    <row r="20" spans="1:5" ht="15">
      <c r="A20" s="215"/>
      <c r="B20" s="216"/>
      <c r="C20" s="216"/>
      <c r="D20" s="216"/>
      <c r="E20" s="216"/>
    </row>
    <row r="21" spans="1:4" ht="30.75" thickBot="1">
      <c r="A21" s="209" t="s">
        <v>376</v>
      </c>
      <c r="B21" s="210"/>
      <c r="C21" s="210"/>
      <c r="D21" s="210"/>
    </row>
    <row r="22" spans="1:4" ht="30.75" thickBot="1">
      <c r="A22" s="207" t="s">
        <v>371</v>
      </c>
      <c r="B22" s="205" t="s">
        <v>372</v>
      </c>
      <c r="C22" s="205" t="s">
        <v>377</v>
      </c>
      <c r="D22" s="205" t="s">
        <v>378</v>
      </c>
    </row>
    <row r="23" spans="1:4" ht="30.75" thickBot="1">
      <c r="A23" s="207" t="s">
        <v>373</v>
      </c>
      <c r="B23" s="205" t="s">
        <v>372</v>
      </c>
      <c r="C23" s="205" t="s">
        <v>379</v>
      </c>
      <c r="D23" s="205" t="s">
        <v>380</v>
      </c>
    </row>
    <row r="24" spans="1:4" ht="30.75" thickBot="1">
      <c r="A24" s="207" t="s">
        <v>374</v>
      </c>
      <c r="B24" s="205" t="s">
        <v>372</v>
      </c>
      <c r="C24" s="205" t="s">
        <v>381</v>
      </c>
      <c r="D24" s="205"/>
    </row>
    <row r="25" spans="1:4" ht="30.75" thickBot="1">
      <c r="A25" s="207" t="s">
        <v>375</v>
      </c>
      <c r="B25" s="205" t="s">
        <v>372</v>
      </c>
      <c r="C25" s="205" t="s">
        <v>382</v>
      </c>
      <c r="D25" s="205"/>
    </row>
    <row r="26" spans="1:4" ht="30.75" thickBot="1">
      <c r="A26" s="206" t="s">
        <v>383</v>
      </c>
      <c r="B26" s="205"/>
      <c r="C26" s="205"/>
      <c r="D26" s="205"/>
    </row>
    <row r="27" spans="1:4" ht="30.75" thickBot="1">
      <c r="A27" s="207" t="s">
        <v>371</v>
      </c>
      <c r="B27" s="205" t="s">
        <v>372</v>
      </c>
      <c r="C27" s="205" t="s">
        <v>384</v>
      </c>
      <c r="D27" s="205" t="s">
        <v>385</v>
      </c>
    </row>
    <row r="28" spans="1:4" ht="30.75" thickBot="1">
      <c r="A28" s="207" t="s">
        <v>373</v>
      </c>
      <c r="B28" s="205" t="s">
        <v>372</v>
      </c>
      <c r="C28" s="205">
        <v>2168</v>
      </c>
      <c r="D28" s="205" t="s">
        <v>386</v>
      </c>
    </row>
    <row r="29" spans="1:4" ht="30.75" thickBot="1">
      <c r="A29" s="207" t="s">
        <v>374</v>
      </c>
      <c r="B29" s="205" t="s">
        <v>372</v>
      </c>
      <c r="C29" s="205" t="s">
        <v>387</v>
      </c>
      <c r="D29" s="205"/>
    </row>
    <row r="30" spans="1:4" ht="30.75" thickBot="1">
      <c r="A30" s="207" t="s">
        <v>375</v>
      </c>
      <c r="B30" s="205" t="s">
        <v>372</v>
      </c>
      <c r="C30" s="205" t="s">
        <v>388</v>
      </c>
      <c r="D30" s="205"/>
    </row>
    <row r="31" spans="1:4" ht="45.75" thickBot="1">
      <c r="A31" s="206" t="s">
        <v>389</v>
      </c>
      <c r="B31" s="205"/>
      <c r="C31" s="205"/>
      <c r="D31" s="205"/>
    </row>
    <row r="32" spans="1:4" ht="30.75" thickBot="1">
      <c r="A32" s="207" t="s">
        <v>371</v>
      </c>
      <c r="B32" s="205" t="s">
        <v>372</v>
      </c>
      <c r="C32" s="205" t="s">
        <v>390</v>
      </c>
      <c r="D32" s="205" t="s">
        <v>391</v>
      </c>
    </row>
    <row r="33" spans="1:4" ht="30.75" thickBot="1">
      <c r="A33" s="207" t="s">
        <v>373</v>
      </c>
      <c r="B33" s="205" t="s">
        <v>372</v>
      </c>
      <c r="C33" s="205" t="s">
        <v>392</v>
      </c>
      <c r="D33" s="205" t="s">
        <v>393</v>
      </c>
    </row>
    <row r="34" spans="1:4" ht="30.75" thickBot="1">
      <c r="A34" s="207" t="s">
        <v>374</v>
      </c>
      <c r="B34" s="205" t="s">
        <v>372</v>
      </c>
      <c r="C34" s="205" t="s">
        <v>394</v>
      </c>
      <c r="D34" s="205"/>
    </row>
    <row r="35" spans="1:4" ht="30.75" thickBot="1">
      <c r="A35" s="207" t="s">
        <v>375</v>
      </c>
      <c r="B35" s="205" t="s">
        <v>372</v>
      </c>
      <c r="C35" s="205" t="s">
        <v>395</v>
      </c>
      <c r="D35" s="205"/>
    </row>
    <row r="36" spans="1:4" ht="15.75" thickBot="1">
      <c r="A36" s="206" t="s">
        <v>396</v>
      </c>
      <c r="B36" s="205"/>
      <c r="C36" s="205"/>
      <c r="D36" s="205"/>
    </row>
    <row r="37" spans="1:4" ht="30.75" thickBot="1">
      <c r="A37" s="207" t="s">
        <v>371</v>
      </c>
      <c r="B37" s="205" t="s">
        <v>372</v>
      </c>
      <c r="C37" s="205" t="s">
        <v>397</v>
      </c>
      <c r="D37" s="205"/>
    </row>
    <row r="38" spans="1:4" ht="30.75" thickBot="1">
      <c r="A38" s="207" t="s">
        <v>373</v>
      </c>
      <c r="B38" s="205" t="s">
        <v>372</v>
      </c>
      <c r="C38" s="205">
        <v>338</v>
      </c>
      <c r="D38" s="205"/>
    </row>
    <row r="39" spans="1:4" ht="30.75" thickBot="1">
      <c r="A39" s="207" t="s">
        <v>374</v>
      </c>
      <c r="B39" s="205" t="s">
        <v>372</v>
      </c>
      <c r="C39" s="205" t="s">
        <v>398</v>
      </c>
      <c r="D39" s="205"/>
    </row>
    <row r="40" spans="1:4" ht="30.75" thickBot="1">
      <c r="A40" s="207" t="s">
        <v>375</v>
      </c>
      <c r="B40" s="205" t="s">
        <v>372</v>
      </c>
      <c r="C40" s="205" t="s">
        <v>399</v>
      </c>
      <c r="D40" s="205"/>
    </row>
    <row r="41" spans="1:4" ht="60.75" thickBot="1">
      <c r="A41" s="206" t="s">
        <v>400</v>
      </c>
      <c r="B41" s="205"/>
      <c r="C41" s="205"/>
      <c r="D41" s="205"/>
    </row>
    <row r="42" spans="1:4" ht="30.75" thickBot="1">
      <c r="A42" s="207" t="s">
        <v>371</v>
      </c>
      <c r="B42" s="205" t="s">
        <v>372</v>
      </c>
      <c r="C42" s="205" t="s">
        <v>401</v>
      </c>
      <c r="D42" s="205" t="s">
        <v>402</v>
      </c>
    </row>
    <row r="43" spans="1:4" ht="30.75" thickBot="1">
      <c r="A43" s="207" t="s">
        <v>373</v>
      </c>
      <c r="B43" s="205" t="s">
        <v>372</v>
      </c>
      <c r="C43" s="205" t="s">
        <v>403</v>
      </c>
      <c r="D43" s="205">
        <v>3621</v>
      </c>
    </row>
    <row r="44" spans="1:4" ht="30.75" thickBot="1">
      <c r="A44" s="207" t="s">
        <v>374</v>
      </c>
      <c r="B44" s="205" t="s">
        <v>372</v>
      </c>
      <c r="C44" s="205">
        <v>5500</v>
      </c>
      <c r="D44" s="205"/>
    </row>
    <row r="45" spans="1:4" ht="30.75" thickBot="1">
      <c r="A45" s="207" t="s">
        <v>375</v>
      </c>
      <c r="B45" s="205" t="s">
        <v>372</v>
      </c>
      <c r="C45" s="205" t="s">
        <v>404</v>
      </c>
      <c r="D45" s="205"/>
    </row>
    <row r="46" spans="1:4" ht="15.75" thickBot="1">
      <c r="A46" s="206" t="s">
        <v>405</v>
      </c>
      <c r="B46" s="205"/>
      <c r="C46" s="205"/>
      <c r="D46" s="205"/>
    </row>
    <row r="47" spans="1:4" ht="30.75" thickBot="1">
      <c r="A47" s="207" t="s">
        <v>371</v>
      </c>
      <c r="B47" s="205" t="s">
        <v>372</v>
      </c>
      <c r="C47" s="205" t="s">
        <v>406</v>
      </c>
      <c r="D47" s="205">
        <v>728</v>
      </c>
    </row>
    <row r="48" spans="1:4" ht="30.75" thickBot="1">
      <c r="A48" s="207" t="s">
        <v>373</v>
      </c>
      <c r="B48" s="205" t="s">
        <v>372</v>
      </c>
      <c r="C48" s="205" t="s">
        <v>407</v>
      </c>
      <c r="D48" s="205">
        <v>1494</v>
      </c>
    </row>
    <row r="49" spans="1:4" ht="30.75" thickBot="1">
      <c r="A49" s="207" t="s">
        <v>374</v>
      </c>
      <c r="B49" s="205" t="s">
        <v>372</v>
      </c>
      <c r="C49" s="205" t="s">
        <v>408</v>
      </c>
      <c r="D49" s="205"/>
    </row>
    <row r="50" spans="1:4" ht="30.75" thickBot="1">
      <c r="A50" s="207" t="s">
        <v>375</v>
      </c>
      <c r="B50" s="205" t="s">
        <v>372</v>
      </c>
      <c r="C50" s="205" t="s">
        <v>409</v>
      </c>
      <c r="D50" s="205"/>
    </row>
    <row r="51" spans="1:4" ht="15.75" thickBot="1">
      <c r="A51" s="206" t="s">
        <v>410</v>
      </c>
      <c r="B51" s="205"/>
      <c r="C51" s="205"/>
      <c r="D51" s="205"/>
    </row>
    <row r="52" spans="1:4" ht="30.75" thickBot="1">
      <c r="A52" s="207" t="s">
        <v>371</v>
      </c>
      <c r="B52" s="205" t="s">
        <v>372</v>
      </c>
      <c r="C52" s="205" t="s">
        <v>411</v>
      </c>
      <c r="D52" s="205" t="s">
        <v>412</v>
      </c>
    </row>
    <row r="53" spans="1:4" ht="30.75" thickBot="1">
      <c r="A53" s="207" t="s">
        <v>373</v>
      </c>
      <c r="B53" s="205" t="s">
        <v>372</v>
      </c>
      <c r="C53" s="205" t="s">
        <v>413</v>
      </c>
      <c r="D53" s="205" t="s">
        <v>414</v>
      </c>
    </row>
    <row r="54" spans="1:4" ht="30.75" thickBot="1">
      <c r="A54" s="207" t="s">
        <v>374</v>
      </c>
      <c r="B54" s="205" t="s">
        <v>372</v>
      </c>
      <c r="C54" s="205" t="s">
        <v>415</v>
      </c>
      <c r="D54" s="205"/>
    </row>
    <row r="55" spans="1:4" ht="30.75" thickBot="1">
      <c r="A55" s="207" t="s">
        <v>375</v>
      </c>
      <c r="B55" s="205" t="s">
        <v>372</v>
      </c>
      <c r="C55" s="205" t="s">
        <v>416</v>
      </c>
      <c r="D55" s="205"/>
    </row>
    <row r="56" spans="1:4" ht="15.75" thickBot="1">
      <c r="A56" s="206" t="s">
        <v>417</v>
      </c>
      <c r="B56" s="205"/>
      <c r="C56" s="205"/>
      <c r="D56" s="205"/>
    </row>
    <row r="57" spans="1:4" ht="30.75" thickBot="1">
      <c r="A57" s="207" t="s">
        <v>371</v>
      </c>
      <c r="B57" s="205" t="s">
        <v>372</v>
      </c>
      <c r="C57" s="205" t="s">
        <v>418</v>
      </c>
      <c r="D57" s="205"/>
    </row>
    <row r="58" spans="1:4" ht="30.75" thickBot="1">
      <c r="A58" s="207" t="s">
        <v>373</v>
      </c>
      <c r="B58" s="205" t="s">
        <v>372</v>
      </c>
      <c r="C58" s="205" t="s">
        <v>419</v>
      </c>
      <c r="D58" s="205"/>
    </row>
    <row r="59" spans="1:4" ht="30.75" thickBot="1">
      <c r="A59" s="207" t="s">
        <v>374</v>
      </c>
      <c r="B59" s="205" t="s">
        <v>372</v>
      </c>
      <c r="C59" s="205" t="s">
        <v>420</v>
      </c>
      <c r="D59" s="205"/>
    </row>
    <row r="60" spans="1:4" ht="45.75" thickBot="1">
      <c r="A60" s="206" t="s">
        <v>421</v>
      </c>
      <c r="B60" s="205"/>
      <c r="C60" s="205"/>
      <c r="D60" s="205"/>
    </row>
    <row r="61" spans="1:4" ht="30.75" thickBot="1">
      <c r="A61" s="207" t="s">
        <v>371</v>
      </c>
      <c r="B61" s="205" t="s">
        <v>372</v>
      </c>
      <c r="C61" s="205" t="s">
        <v>422</v>
      </c>
      <c r="D61" s="205">
        <v>4530</v>
      </c>
    </row>
    <row r="62" spans="1:4" ht="30.75" thickBot="1">
      <c r="A62" s="207" t="s">
        <v>373</v>
      </c>
      <c r="B62" s="205" t="s">
        <v>372</v>
      </c>
      <c r="C62" s="205" t="s">
        <v>423</v>
      </c>
      <c r="D62" s="205" t="s">
        <v>424</v>
      </c>
    </row>
    <row r="63" spans="1:4" ht="30.75" thickBot="1">
      <c r="A63" s="207" t="s">
        <v>374</v>
      </c>
      <c r="B63" s="205" t="s">
        <v>372</v>
      </c>
      <c r="C63" s="205">
        <v>5948</v>
      </c>
      <c r="D63" s="205"/>
    </row>
    <row r="64" spans="1:4" ht="30.75" thickBot="1">
      <c r="A64" s="207" t="s">
        <v>375</v>
      </c>
      <c r="B64" s="205" t="s">
        <v>372</v>
      </c>
      <c r="C64" s="205" t="s">
        <v>425</v>
      </c>
      <c r="D64" s="205"/>
    </row>
    <row r="65" spans="1:4" ht="45.75" thickBot="1">
      <c r="A65" s="206" t="s">
        <v>426</v>
      </c>
      <c r="B65" s="205"/>
      <c r="C65" s="205"/>
      <c r="D65" s="205"/>
    </row>
    <row r="66" spans="1:4" ht="30.75" thickBot="1">
      <c r="A66" s="207" t="s">
        <v>371</v>
      </c>
      <c r="B66" s="205" t="s">
        <v>372</v>
      </c>
      <c r="C66" s="205" t="s">
        <v>427</v>
      </c>
      <c r="D66" s="205" t="s">
        <v>428</v>
      </c>
    </row>
    <row r="67" spans="1:4" ht="30.75" thickBot="1">
      <c r="A67" s="207" t="s">
        <v>373</v>
      </c>
      <c r="B67" s="205" t="s">
        <v>372</v>
      </c>
      <c r="C67" s="205" t="s">
        <v>429</v>
      </c>
      <c r="D67" s="205" t="s">
        <v>430</v>
      </c>
    </row>
    <row r="68" spans="1:4" ht="30.75" thickBot="1">
      <c r="A68" s="207" t="s">
        <v>374</v>
      </c>
      <c r="B68" s="205" t="s">
        <v>372</v>
      </c>
      <c r="C68" s="205" t="s">
        <v>431</v>
      </c>
      <c r="D68" s="205"/>
    </row>
    <row r="69" spans="1:4" ht="30.75" thickBot="1">
      <c r="A69" s="207" t="s">
        <v>375</v>
      </c>
      <c r="B69" s="205" t="s">
        <v>372</v>
      </c>
      <c r="C69" s="205" t="s">
        <v>432</v>
      </c>
      <c r="D69" s="205"/>
    </row>
    <row r="70" spans="1:4" ht="15.75" thickBot="1">
      <c r="A70" s="206" t="s">
        <v>433</v>
      </c>
      <c r="B70" s="205"/>
      <c r="C70" s="205"/>
      <c r="D70" s="205"/>
    </row>
    <row r="71" spans="1:4" ht="30.75" thickBot="1">
      <c r="A71" s="207" t="s">
        <v>371</v>
      </c>
      <c r="B71" s="205" t="s">
        <v>372</v>
      </c>
      <c r="C71" s="205" t="s">
        <v>434</v>
      </c>
      <c r="D71" s="205" t="s">
        <v>435</v>
      </c>
    </row>
    <row r="72" spans="1:4" ht="30.75" thickBot="1">
      <c r="A72" s="207" t="s">
        <v>373</v>
      </c>
      <c r="B72" s="205" t="s">
        <v>372</v>
      </c>
      <c r="C72" s="205" t="s">
        <v>436</v>
      </c>
      <c r="D72" s="205" t="s">
        <v>437</v>
      </c>
    </row>
    <row r="73" spans="1:4" ht="30.75" thickBot="1">
      <c r="A73" s="207" t="s">
        <v>374</v>
      </c>
      <c r="B73" s="205" t="s">
        <v>372</v>
      </c>
      <c r="C73" s="205" t="s">
        <v>438</v>
      </c>
      <c r="D73" s="205"/>
    </row>
    <row r="74" spans="1:4" ht="30.75" thickBot="1">
      <c r="A74" s="207" t="s">
        <v>375</v>
      </c>
      <c r="B74" s="205" t="s">
        <v>372</v>
      </c>
      <c r="C74" s="205">
        <v>149527</v>
      </c>
      <c r="D74" s="205"/>
    </row>
    <row r="75" spans="1:4" ht="30.75" thickBot="1">
      <c r="A75" s="206" t="s">
        <v>439</v>
      </c>
      <c r="B75" s="205"/>
      <c r="C75" s="205"/>
      <c r="D75" s="205"/>
    </row>
    <row r="76" spans="1:4" ht="30.75" thickBot="1">
      <c r="A76" s="207" t="s">
        <v>371</v>
      </c>
      <c r="B76" s="205" t="s">
        <v>372</v>
      </c>
      <c r="C76" s="205" t="s">
        <v>440</v>
      </c>
      <c r="D76" s="205" t="s">
        <v>441</v>
      </c>
    </row>
    <row r="77" spans="1:4" ht="30.75" thickBot="1">
      <c r="A77" s="207" t="s">
        <v>373</v>
      </c>
      <c r="B77" s="205" t="s">
        <v>372</v>
      </c>
      <c r="C77" s="205" t="s">
        <v>442</v>
      </c>
      <c r="D77" s="205" t="s">
        <v>443</v>
      </c>
    </row>
    <row r="78" spans="1:4" ht="30.75" thickBot="1">
      <c r="A78" s="207" t="s">
        <v>374</v>
      </c>
      <c r="B78" s="205" t="s">
        <v>372</v>
      </c>
      <c r="C78" s="205" t="s">
        <v>444</v>
      </c>
      <c r="D78" s="205"/>
    </row>
    <row r="79" spans="1:4" ht="30.75" thickBot="1">
      <c r="A79" s="207" t="s">
        <v>375</v>
      </c>
      <c r="B79" s="205" t="s">
        <v>372</v>
      </c>
      <c r="C79" s="205" t="s">
        <v>445</v>
      </c>
      <c r="D79" s="205"/>
    </row>
    <row r="80" spans="1:4" ht="45.75" thickBot="1">
      <c r="A80" s="206" t="s">
        <v>446</v>
      </c>
      <c r="B80" s="205"/>
      <c r="C80" s="205"/>
      <c r="D80" s="205"/>
    </row>
    <row r="81" spans="1:4" ht="30.75" thickBot="1">
      <c r="A81" s="207" t="s">
        <v>371</v>
      </c>
      <c r="B81" s="205" t="s">
        <v>372</v>
      </c>
      <c r="C81" s="205" t="s">
        <v>447</v>
      </c>
      <c r="D81" s="205" t="s">
        <v>448</v>
      </c>
    </row>
    <row r="82" spans="1:4" ht="30.75" thickBot="1">
      <c r="A82" s="207" t="s">
        <v>373</v>
      </c>
      <c r="B82" s="205" t="s">
        <v>372</v>
      </c>
      <c r="C82" s="205" t="s">
        <v>449</v>
      </c>
      <c r="D82" s="205" t="s">
        <v>450</v>
      </c>
    </row>
    <row r="83" spans="1:4" ht="30.75" thickBot="1">
      <c r="A83" s="207" t="s">
        <v>374</v>
      </c>
      <c r="B83" s="205" t="s">
        <v>372</v>
      </c>
      <c r="C83" s="205" t="s">
        <v>451</v>
      </c>
      <c r="D83" s="205"/>
    </row>
    <row r="84" spans="1:4" ht="30.75" thickBot="1">
      <c r="A84" s="207" t="s">
        <v>375</v>
      </c>
      <c r="B84" s="205" t="s">
        <v>372</v>
      </c>
      <c r="C84" s="205" t="s">
        <v>452</v>
      </c>
      <c r="D84" s="205"/>
    </row>
  </sheetData>
  <sheetProtection/>
  <mergeCells count="10">
    <mergeCell ref="A7:D7"/>
    <mergeCell ref="A8:D8"/>
    <mergeCell ref="A11:E11"/>
    <mergeCell ref="C17:D1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trial</cp:lastModifiedBy>
  <cp:lastPrinted>2015-11-13T04:39:37Z</cp:lastPrinted>
  <dcterms:created xsi:type="dcterms:W3CDTF">1996-10-08T23:32:33Z</dcterms:created>
  <dcterms:modified xsi:type="dcterms:W3CDTF">2015-11-13T04:39:47Z</dcterms:modified>
  <cp:category/>
  <cp:version/>
  <cp:contentType/>
  <cp:contentStatus/>
</cp:coreProperties>
</file>