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1"/>
  </bookViews>
  <sheets>
    <sheet name="Прил 8 (2013)" sheetId="1" r:id="rId1"/>
    <sheet name="прил 10 2013г  дек" sheetId="2" r:id="rId2"/>
    <sheet name="Лист3" sheetId="3" r:id="rId3"/>
  </sheets>
  <externalReferences>
    <externalReference r:id="rId6"/>
  </externalReferences>
  <definedNames>
    <definedName name="_xlnm.Print_Titles" localSheetId="1">'прил 10 2013г  дек'!$8:$8</definedName>
    <definedName name="_xlnm.Print_Titles" localSheetId="0">'Прил 8 (2013)'!$8:$8</definedName>
    <definedName name="_xlnm.Print_Area" localSheetId="1">'прил 10 2013г  дек'!$A$1:$L$663</definedName>
    <definedName name="_xlnm.Print_Area" localSheetId="0">'Прил 8 (2013)'!$A$2:$H$65</definedName>
  </definedNames>
  <calcPr fullCalcOnLoad="1"/>
</workbook>
</file>

<file path=xl/sharedStrings.xml><?xml version="1.0" encoding="utf-8"?>
<sst xmlns="http://schemas.openxmlformats.org/spreadsheetml/2006/main" count="3612" uniqueCount="540">
  <si>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</si>
  <si>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</si>
  <si>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</si>
  <si>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</si>
  <si>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</si>
  <si>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</si>
  <si>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</si>
  <si>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</si>
  <si>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</si>
  <si>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</si>
  <si>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</si>
  <si>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</si>
  <si>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</si>
  <si>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</si>
  <si>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</si>
  <si>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</si>
  <si>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</si>
  <si>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</si>
  <si>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</si>
  <si>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</si>
  <si>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</si>
  <si>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</si>
  <si>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</si>
  <si>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</si>
  <si>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</si>
  <si>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</si>
  <si>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</si>
  <si>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</si>
  <si>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</si>
  <si>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</si>
  <si>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</si>
  <si>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</si>
  <si>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</si>
  <si>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</si>
  <si>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</si>
  <si>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</si>
  <si>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</si>
  <si>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</si>
  <si>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</si>
  <si>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</si>
  <si>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</si>
  <si>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</si>
  <si>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</si>
  <si>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</si>
  <si>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</si>
  <si>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</si>
  <si>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</si>
  <si>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</si>
  <si>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</si>
  <si>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</si>
  <si>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</si>
  <si>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</si>
  <si>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</si>
  <si>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</si>
  <si>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</si>
  <si>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</si>
  <si>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</si>
  <si>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</si>
  <si>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</si>
  <si>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</si>
  <si>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</si>
  <si>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</si>
  <si>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</si>
  <si>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</si>
  <si>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</si>
  <si>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</si>
  <si>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</si>
  <si>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</si>
  <si>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</si>
  <si>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</si>
  <si>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</si>
  <si>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</si>
  <si>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</si>
  <si>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</si>
  <si>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</si>
  <si>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</si>
  <si>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</si>
  <si>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</si>
  <si>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</si>
  <si>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</si>
  <si>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</si>
  <si>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</si>
  <si>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</si>
  <si>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</si>
  <si>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</si>
  <si>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</si>
  <si>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</si>
  <si>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</si>
  <si>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</si>
  <si>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</si>
  <si>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</si>
  <si>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</si>
  <si>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</si>
  <si>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</si>
  <si>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</si>
  <si>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</si>
  <si>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</si>
  <si>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</si>
  <si>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</si>
  <si>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</si>
  <si>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</si>
  <si>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</si>
  <si>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</si>
  <si>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</si>
  <si>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</si>
  <si>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</si>
  <si>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</si>
  <si>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</si>
  <si>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</si>
  <si>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</si>
  <si>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</si>
  <si>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</si>
  <si>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</si>
  <si>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</si>
  <si>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</si>
  <si>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</si>
  <si>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</si>
  <si>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</si>
  <si>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</si>
  <si>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</si>
  <si>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</si>
  <si>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</si>
  <si>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</si>
  <si>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</si>
  <si>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</si>
  <si>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</si>
  <si>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</si>
  <si>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</si>
  <si>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</si>
  <si>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</si>
  <si>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</si>
  <si>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</si>
  <si>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</si>
  <si>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</si>
  <si>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</si>
  <si>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</si>
  <si>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</si>
  <si>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</si>
  <si>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</si>
  <si>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</si>
  <si>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</si>
  <si>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</si>
  <si>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</si>
  <si>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</si>
  <si>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</si>
  <si>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</si>
  <si>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</si>
  <si>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</si>
  <si>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</si>
  <si>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</si>
  <si>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</si>
  <si>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</si>
  <si>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</si>
  <si>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</si>
  <si>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</si>
  <si>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</si>
  <si>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</si>
  <si>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</si>
  <si>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</si>
  <si>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</si>
  <si>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</si>
  <si>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</si>
  <si>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</si>
  <si>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</si>
  <si>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</si>
  <si>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</si>
  <si>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</si>
  <si>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</si>
  <si>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</si>
  <si>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</si>
  <si>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</si>
  <si>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</si>
  <si>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</si>
  <si>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</si>
  <si>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</si>
  <si>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</si>
  <si>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</si>
  <si>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</si>
  <si>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</si>
  <si>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</si>
  <si>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</si>
  <si>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</si>
  <si>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</si>
  <si>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</si>
  <si>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</si>
  <si>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</si>
  <si>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</si>
  <si>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</si>
  <si>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</si>
  <si>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</si>
  <si>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</si>
  <si>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</si>
  <si>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</si>
  <si>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</si>
  <si>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</si>
  <si>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</si>
  <si>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</si>
  <si>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</si>
  <si>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</si>
  <si>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</si>
  <si>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</si>
  <si>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</si>
  <si>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</si>
  <si>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</si>
  <si>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</si>
  <si>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</si>
  <si>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</si>
  <si>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</si>
  <si>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</si>
  <si>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</si>
  <si>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</si>
  <si>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</si>
  <si>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</si>
  <si>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</si>
  <si>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</si>
  <si>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</si>
  <si>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</si>
  <si>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</si>
  <si>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</si>
  <si>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</si>
  <si>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</si>
  <si>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</si>
  <si>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</si>
  <si>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</si>
  <si>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</si>
  <si>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</si>
  <si>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</si>
  <si>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</si>
  <si>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</si>
  <si>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</si>
  <si>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</si>
  <si>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</si>
  <si>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</si>
  <si>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</si>
  <si>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</si>
  <si>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</si>
  <si>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</si>
  <si>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</si>
  <si>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</si>
  <si>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</si>
  <si>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</si>
  <si>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</si>
  <si>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</si>
  <si>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</si>
  <si>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</si>
  <si>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</si>
  <si>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</si>
  <si>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</si>
  <si>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</si>
  <si>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</si>
  <si>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</si>
  <si>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</si>
  <si>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</si>
  <si>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</si>
  <si>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</si>
  <si>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</si>
  <si>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</si>
  <si>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</si>
  <si>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</si>
  <si>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</si>
  <si>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</si>
  <si>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</si>
  <si>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</si>
  <si>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</si>
  <si>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</si>
  <si>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</si>
  <si>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</si>
  <si>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</si>
  <si>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</si>
  <si>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</si>
  <si>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</si>
  <si>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</si>
  <si>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</si>
  <si>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</si>
  <si>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</si>
  <si>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</si>
  <si>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</si>
  <si>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</si>
  <si>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</si>
  <si>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</si>
  <si>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</si>
  <si>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</si>
  <si>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</si>
  <si>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</si>
  <si>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</si>
  <si>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</si>
  <si>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</si>
  <si>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</si>
  <si>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</si>
  <si>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</si>
  <si>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</si>
  <si>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</si>
  <si>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</si>
  <si>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</si>
  <si>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</si>
  <si>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</si>
  <si>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</si>
  <si>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</si>
  <si>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</si>
  <si>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</si>
  <si>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</si>
  <si>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</si>
  <si>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</si>
  <si>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</si>
  <si>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</si>
  <si>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</si>
  <si>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</si>
  <si>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</si>
  <si>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</si>
  <si>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</si>
  <si>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</si>
  <si>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</si>
  <si>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</si>
  <si>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</si>
  <si>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</si>
  <si>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</si>
  <si>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</si>
  <si>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</si>
  <si>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</si>
  <si>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</si>
  <si>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</si>
  <si>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</si>
  <si>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</si>
  <si>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</si>
  <si>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</si>
  <si>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</si>
  <si>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</si>
  <si>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</si>
  <si>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</si>
  <si>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</si>
  <si>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</si>
  <si>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</si>
  <si>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</si>
  <si>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</si>
  <si>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</si>
  <si>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</si>
  <si>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</si>
  <si>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</si>
  <si>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</si>
  <si>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</si>
  <si>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</si>
  <si>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</si>
  <si>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</si>
  <si>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</si>
  <si>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</si>
  <si>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</si>
  <si>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</si>
  <si>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</si>
  <si>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</si>
  <si>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</si>
  <si>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</si>
  <si>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</si>
  <si>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</si>
  <si>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</si>
  <si>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</si>
  <si>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</si>
  <si>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</si>
  <si>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</si>
  <si>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</si>
  <si>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</si>
  <si>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</si>
  <si>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</si>
  <si>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</si>
  <si>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</si>
  <si>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</si>
  <si>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</si>
  <si>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</si>
  <si>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</si>
  <si>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</si>
  <si>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</si>
  <si>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</si>
  <si>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</si>
  <si>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</si>
  <si>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</si>
  <si>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</si>
  <si>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</si>
  <si>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</si>
  <si>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</si>
  <si>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</si>
  <si>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</si>
  <si>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</si>
  <si>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</si>
  <si>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</si>
  <si>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</si>
  <si>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</si>
  <si>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</si>
  <si>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</si>
  <si>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</si>
  <si>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</si>
  <si>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</si>
  <si>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</si>
  <si>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</si>
  <si>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</si>
  <si>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</si>
  <si>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</si>
  <si>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</si>
  <si>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</si>
  <si>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</si>
  <si>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</si>
  <si>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</si>
  <si>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</si>
  <si>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</si>
  <si>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</si>
  <si>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</si>
  <si>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</si>
  <si>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</si>
  <si>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</si>
  <si>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</si>
  <si>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</si>
  <si>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</si>
  <si>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</si>
  <si>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</si>
  <si>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</si>
  <si>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</si>
  <si>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</si>
  <si>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</si>
  <si>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</si>
  <si>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</si>
  <si>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</si>
  <si>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</si>
  <si>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</si>
  <si>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</si>
  <si>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</si>
  <si>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</si>
  <si>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</si>
  <si>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</si>
  <si>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</si>
  <si>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</si>
  <si>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</si>
  <si>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</si>
  <si>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</si>
  <si>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</si>
  <si>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</si>
  <si>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</si>
  <si>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</si>
  <si>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</si>
  <si>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</si>
  <si>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</si>
  <si>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</si>
  <si>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</si>
  <si>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</si>
  <si>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</si>
  <si>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</si>
  <si>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</si>
  <si>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</si>
  <si>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</si>
  <si>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</si>
  <si>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</si>
  <si>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</si>
  <si>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</si>
  <si>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</si>
  <si>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</si>
  <si>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</si>
  <si>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</si>
  <si>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</si>
  <si>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</si>
  <si>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</si>
  <si>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</si>
  <si>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</si>
  <si>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</si>
  <si>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</si>
  <si>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</si>
  <si>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</si>
  <si>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</si>
  <si>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</si>
  <si>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</si>
  <si>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</si>
  <si>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</si>
  <si>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</si>
  <si>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</si>
  <si>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</si>
  <si>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</si>
  <si>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</si>
  <si>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</si>
  <si>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</si>
  <si>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</si>
  <si>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</si>
  <si>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</si>
  <si>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Сумма на утверждение  c учетом изменений 2013г (тыс.руб.)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</si>
  <si>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</si>
  <si>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</si>
  <si>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</si>
  <si>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</si>
  <si>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</si>
  <si>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</si>
  <si>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Пособия и компенсации  гражданам и иные социальные выплаты, кроме публичных нормативных обязательств</t>
  </si>
  <si>
    <t>5221602</t>
  </si>
  <si>
    <t>Оздоровление детей за счет средств местного бюджета</t>
  </si>
  <si>
    <t>3450100</t>
  </si>
  <si>
    <t xml:space="preserve">Субсидии на государственную
поддержку малого и среднего предпринимательства, включая
крестьянские (фермерские) хозяйства
</t>
  </si>
  <si>
    <t>Закупка работ товаров, работ и услуг  в целях капитального ремонта муниципального имущества</t>
  </si>
  <si>
    <t>441</t>
  </si>
  <si>
    <t>5053603</t>
  </si>
  <si>
    <t>Обеспечение предоставления жилых помещений
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</si>
  <si>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казенным учреждениям
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</si>
  <si>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</si>
  <si>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5229606</t>
  </si>
  <si>
    <t>Расходы на модернизацию региональных систем общего образования</t>
  </si>
  <si>
    <t>Функционирование высшего должностного лица  органа местного самоуправления</t>
  </si>
  <si>
    <t xml:space="preserve">Прочая закупка товаров, работ и услуг для муниципальных нужд
</t>
  </si>
  <si>
    <t>Функционирование  местных администраций</t>
  </si>
  <si>
    <t>Ведомственная структура  расходов бюджета муниципального образования "Онгудайский район"                          на 2013 год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</si>
  <si>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</si>
  <si>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в сфере установленных функций  органов местного самоуправления</t>
  </si>
  <si>
    <t>Музеи и постоянные выставки</t>
  </si>
  <si>
    <t>4419900</t>
  </si>
  <si>
    <t>Охрана окружающей среды</t>
  </si>
  <si>
    <t>Охрана объектов  растительного и животного мира и среды их обитания</t>
  </si>
  <si>
    <t>7952040</t>
  </si>
  <si>
    <t>МЦП "Регулирование численности объектов  животного мира (волка) на территории Онгудайского района на 2013-2015 годы"</t>
  </si>
  <si>
    <t>0600</t>
  </si>
  <si>
    <t>5221605</t>
  </si>
  <si>
    <t>РЦП "Развитие образования в Республике Алтай на 2013-2018годы" (повышение ФОТ пед.раболтникам доп.образования детей)</t>
  </si>
  <si>
    <t>Реализация РЦП "Развитие образования в Республике Алтай  в части выплаты ежемесячной надбавки к зарплате молодым специалистам в моу"</t>
  </si>
  <si>
    <t>5221609</t>
  </si>
  <si>
    <t>Мероприятия по модернизации региональной системы дошкольного образования</t>
  </si>
  <si>
    <t>4362700</t>
  </si>
  <si>
    <t>РЦП"Развитие дошкольного образования в Республике Алтай на 2012-2015годы"</t>
  </si>
  <si>
    <t>5224700</t>
  </si>
  <si>
    <t xml:space="preserve">Бюджетные инвестиции на приобретение объектов недвижимого имущества 
</t>
  </si>
  <si>
    <t>РЦП "Энергосбережение и повышение  энерг.эффект. РА на 2010-2015 годы"  подпрогр. Подготовка к отопительному  сезону объектов жкх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</si>
  <si>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</si>
  <si>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</si>
  <si>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 xml:space="preserve">РЦП "Энергосбережение и повышение  энергетичекой эффективности  РА на 2010-2015 годы" 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</si>
  <si>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</si>
  <si>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Закупка товаров, работ и услуг в целях капитального ремонта муниципального имущества</t>
  </si>
  <si>
    <t>0923400</t>
  </si>
  <si>
    <t>РЦП "Жилище на 2011-2015г" п/прогр Стимулирование развития жилстр-ва на терр РА, в т.ч. сельской местности</t>
  </si>
  <si>
    <t xml:space="preserve">РЦП "Энергосбережение и повышение  энергетической эффективности  РА на 2010-2015 годы" </t>
  </si>
  <si>
    <t>1008999</t>
  </si>
  <si>
    <t>Модернизация регионально-муниципальных систем дошкольного образования</t>
  </si>
  <si>
    <t>1001199</t>
  </si>
  <si>
    <t>Социальные выплаты молодым семьям на приобретение жилья или строитльство индивидуального жилого дом</t>
  </si>
  <si>
    <t>Мероприятия по улучшению жилищных условий граждан РФ, проживающих в сельской местности</t>
  </si>
  <si>
    <t>4401601</t>
  </si>
  <si>
    <t>Выплата денежного поощрения лучшим мунициальным учреждениям культуры</t>
  </si>
  <si>
    <t>Учреждения культуры и мероприятия в сфере культуры и кинематографии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</si>
  <si>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№4-2 )</t>
  </si>
  <si>
    <t xml:space="preserve"> Приложение 10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</si>
  <si>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 № 4-2      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</si>
</sst>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0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8" fillId="0" borderId="10" xfId="54" applyFont="1" applyFill="1" applyBorder="1" applyAlignment="1">
      <alignment horizontal="justify" vertical="top" wrapText="1" shrinkToFit="1"/>
      <protection/>
    </xf>
    <xf numFmtId="179" fontId="8" fillId="0" borderId="10" xfId="72" applyNumberFormat="1" applyFont="1" applyFill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justify" vertical="top" wrapText="1"/>
    </xf>
    <xf numFmtId="0" fontId="8" fillId="0" borderId="10" xfId="54" applyFont="1" applyFill="1" applyBorder="1" applyAlignment="1">
      <alignment horizontal="justify" wrapText="1" shrinkToFi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2" fontId="5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 shrinkToFit="1"/>
    </xf>
    <xf numFmtId="0" fontId="13" fillId="0" borderId="1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justify" vertical="top" wrapText="1" shrinkToFit="1"/>
      <protection/>
    </xf>
    <xf numFmtId="0" fontId="8" fillId="0" borderId="10" xfId="54" applyFont="1" applyFill="1" applyBorder="1" applyAlignment="1">
      <alignment horizontal="justify" vertical="center" wrapText="1" shrinkToFit="1"/>
      <protection/>
    </xf>
    <xf numFmtId="49" fontId="8" fillId="0" borderId="10" xfId="54" applyNumberFormat="1" applyFont="1" applyFill="1" applyBorder="1" applyAlignment="1">
      <alignment horizontal="left" wrapText="1" shrinkToFi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vertical="top" wrapText="1"/>
    </xf>
    <xf numFmtId="179" fontId="13" fillId="0" borderId="10" xfId="72" applyNumberFormat="1" applyFont="1" applyFill="1" applyBorder="1" applyAlignment="1">
      <alignment wrapText="1"/>
    </xf>
    <xf numFmtId="179" fontId="8" fillId="0" borderId="10" xfId="68" applyNumberFormat="1" applyFont="1" applyFill="1" applyBorder="1" applyAlignment="1">
      <alignment horizontal="left" vertical="justify" wrapText="1"/>
    </xf>
    <xf numFmtId="0" fontId="13" fillId="0" borderId="10" xfId="58" applyFont="1" applyFill="1" applyBorder="1" applyAlignment="1">
      <alignment horizontal="left"/>
      <protection/>
    </xf>
    <xf numFmtId="49" fontId="8" fillId="0" borderId="10" xfId="58" applyNumberFormat="1" applyFont="1" applyFill="1" applyBorder="1" applyAlignment="1">
      <alignment horizontal="justify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5" fillId="0" borderId="0" xfId="58" applyFont="1">
      <alignment/>
      <protection/>
    </xf>
    <xf numFmtId="0" fontId="4" fillId="0" borderId="10" xfId="54" applyFont="1" applyFill="1" applyBorder="1" applyAlignment="1">
      <alignment horizontal="justify" vertical="top" wrapText="1" shrinkToFit="1"/>
      <protection/>
    </xf>
    <xf numFmtId="2" fontId="3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49" fontId="8" fillId="0" borderId="10" xfId="68" applyNumberFormat="1" applyFont="1" applyFill="1" applyBorder="1" applyAlignment="1">
      <alignment vertical="center" wrapText="1"/>
    </xf>
    <xf numFmtId="0" fontId="8" fillId="0" borderId="10" xfId="54" applyFont="1" applyFill="1" applyBorder="1" applyAlignment="1">
      <alignment horizontal="left" vertical="top" wrapText="1" shrinkToFit="1"/>
      <protection/>
    </xf>
    <xf numFmtId="0" fontId="8" fillId="0" borderId="10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179" fontId="15" fillId="0" borderId="10" xfId="68" applyFont="1" applyFill="1" applyBorder="1" applyAlignment="1">
      <alignment wrapText="1"/>
    </xf>
    <xf numFmtId="179" fontId="8" fillId="0" borderId="10" xfId="68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1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15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2" fontId="4" fillId="0" borderId="0" xfId="58" applyNumberFormat="1" applyFont="1" applyAlignment="1">
      <alignment/>
      <protection/>
    </xf>
    <xf numFmtId="2" fontId="0" fillId="0" borderId="0" xfId="0" applyNumberFormat="1" applyFont="1" applyAlignment="1">
      <alignment wrapText="1"/>
    </xf>
    <xf numFmtId="2" fontId="0" fillId="0" borderId="11" xfId="0" applyNumberFormat="1" applyBorder="1" applyAlignment="1">
      <alignment/>
    </xf>
    <xf numFmtId="2" fontId="5" fillId="0" borderId="10" xfId="58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184" fontId="4" fillId="0" borderId="0" xfId="58" applyNumberFormat="1" applyFont="1">
      <alignment/>
      <protection/>
    </xf>
    <xf numFmtId="49" fontId="5" fillId="0" borderId="10" xfId="58" applyNumberFormat="1" applyFont="1" applyBorder="1" applyAlignment="1">
      <alignment horizontal="center"/>
      <protection/>
    </xf>
    <xf numFmtId="2" fontId="1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4" fillId="0" borderId="0" xfId="58" applyNumberFormat="1" applyFont="1" applyAlignment="1">
      <alignment horizontal="left" wrapText="1"/>
      <protection/>
    </xf>
    <xf numFmtId="2" fontId="0" fillId="0" borderId="0" xfId="0" applyNumberFormat="1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2" fontId="4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41">
      <selection activeCell="G16" sqref="G16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2.7109375" style="15" customWidth="1"/>
    <col min="7" max="7" width="11.28125" style="15" customWidth="1"/>
    <col min="8" max="8" width="14.140625" style="15" customWidth="1"/>
    <col min="9" max="16384" width="26.28125" style="1" customWidth="1"/>
  </cols>
  <sheetData>
    <row r="1" spans="3:8" ht="12.75">
      <c r="C1" s="2"/>
      <c r="D1" s="2"/>
      <c r="E1" s="2"/>
      <c r="F1" s="136"/>
      <c r="G1" s="136"/>
      <c r="H1" s="136"/>
    </row>
    <row r="2" spans="1:8" ht="12.75" customHeight="1">
      <c r="A2" s="3"/>
      <c r="C2" s="43" t="s">
        <v>440</v>
      </c>
      <c r="D2" s="56"/>
      <c r="E2" s="56"/>
      <c r="F2" s="145" t="s">
        <v>440</v>
      </c>
      <c r="G2" s="146"/>
      <c r="H2" s="146"/>
    </row>
    <row r="3" spans="1:8" ht="40.5" customHeight="1">
      <c r="A3" s="3"/>
      <c r="D3" s="44"/>
      <c r="E3" s="44"/>
      <c r="F3" s="143" t="s">
        <v>537</v>
      </c>
      <c r="G3" s="144"/>
      <c r="H3" s="144"/>
    </row>
    <row r="4" spans="1:8" ht="9" customHeight="1">
      <c r="A4" s="3"/>
      <c r="B4" s="4"/>
      <c r="C4" s="4"/>
      <c r="D4" s="4"/>
      <c r="E4" s="5"/>
      <c r="F4" s="137"/>
      <c r="G4" s="137"/>
      <c r="H4" s="137"/>
    </row>
    <row r="5" spans="1:8" ht="12.75">
      <c r="A5" s="150" t="s">
        <v>2</v>
      </c>
      <c r="B5" s="151"/>
      <c r="C5" s="151"/>
      <c r="D5" s="152"/>
      <c r="E5" s="153"/>
      <c r="F5" s="153"/>
      <c r="G5" s="149"/>
      <c r="H5" s="149"/>
    </row>
    <row r="6" spans="1:8" ht="27.75" customHeight="1">
      <c r="A6" s="147" t="s">
        <v>457</v>
      </c>
      <c r="B6" s="148"/>
      <c r="C6" s="148"/>
      <c r="D6" s="148"/>
      <c r="E6" s="148"/>
      <c r="F6" s="148"/>
      <c r="G6" s="149"/>
      <c r="H6" s="149"/>
    </row>
    <row r="7" spans="1:8" ht="12.75">
      <c r="A7" s="35"/>
      <c r="B7" s="33"/>
      <c r="C7" s="33"/>
      <c r="D7" s="33"/>
      <c r="E7" s="33"/>
      <c r="F7" s="138"/>
      <c r="G7" s="138"/>
      <c r="H7" s="138" t="s">
        <v>1</v>
      </c>
    </row>
    <row r="8" spans="1:8" ht="63" customHeight="1">
      <c r="A8" s="6" t="s">
        <v>3</v>
      </c>
      <c r="B8" s="6" t="s">
        <v>84</v>
      </c>
      <c r="C8" s="6" t="s">
        <v>85</v>
      </c>
      <c r="D8" s="6" t="s">
        <v>476</v>
      </c>
      <c r="E8" s="55" t="s">
        <v>456</v>
      </c>
      <c r="F8" s="139" t="s">
        <v>441</v>
      </c>
      <c r="G8" s="140" t="s">
        <v>83</v>
      </c>
      <c r="H8" s="139" t="s">
        <v>478</v>
      </c>
    </row>
    <row r="9" spans="1:8" ht="15" customHeight="1">
      <c r="A9" s="7" t="s">
        <v>4</v>
      </c>
      <c r="B9" s="142" t="s">
        <v>5</v>
      </c>
      <c r="C9" s="142"/>
      <c r="D9" s="9">
        <f>D10+D11+D12+D13+D14+D15+D16+D17</f>
        <v>24669.690000000002</v>
      </c>
      <c r="E9" s="14">
        <f>E10+E11+E12+E13+E14+E15+E16+E17</f>
        <v>2631.1356000000005</v>
      </c>
      <c r="F9" s="123">
        <f>F10+F11+F12+F13+F14+F15+F16+F17</f>
        <v>28773.865599999997</v>
      </c>
      <c r="G9" s="123">
        <f>G10+G11+G12+G13+G14+G15+G16+G17</f>
        <v>2369.3213999999994</v>
      </c>
      <c r="H9" s="123">
        <f>H10+H11+H12+H13+H14+H15+H16+H17</f>
        <v>31143.187</v>
      </c>
    </row>
    <row r="10" spans="1:8" ht="21.75" customHeight="1">
      <c r="A10" s="10" t="s">
        <v>376</v>
      </c>
      <c r="B10" s="11" t="s">
        <v>6</v>
      </c>
      <c r="C10" s="11" t="s">
        <v>7</v>
      </c>
      <c r="D10" s="12">
        <v>1047.9</v>
      </c>
      <c r="E10" s="12">
        <v>216.64</v>
      </c>
      <c r="F10" s="124">
        <f>D10+E10</f>
        <v>1264.54</v>
      </c>
      <c r="G10" s="124">
        <v>114.92</v>
      </c>
      <c r="H10" s="124">
        <f aca="true" t="shared" si="0" ref="H10:H32">F10+G10</f>
        <v>1379.46</v>
      </c>
    </row>
    <row r="11" spans="1:8" ht="25.5" customHeight="1">
      <c r="A11" s="10" t="s">
        <v>377</v>
      </c>
      <c r="B11" s="11" t="s">
        <v>6</v>
      </c>
      <c r="C11" s="11" t="s">
        <v>8</v>
      </c>
      <c r="D11" s="12">
        <v>1779.43</v>
      </c>
      <c r="E11" s="12">
        <v>-228</v>
      </c>
      <c r="F11" s="124">
        <v>1703.93</v>
      </c>
      <c r="G11" s="124">
        <v>-92.546</v>
      </c>
      <c r="H11" s="124">
        <f t="shared" si="0"/>
        <v>1611.384</v>
      </c>
    </row>
    <row r="12" spans="1:8" ht="15" customHeight="1">
      <c r="A12" s="10" t="s">
        <v>378</v>
      </c>
      <c r="B12" s="11" t="s">
        <v>6</v>
      </c>
      <c r="C12" s="11" t="s">
        <v>9</v>
      </c>
      <c r="D12" s="12">
        <v>16883.75</v>
      </c>
      <c r="E12" s="12">
        <f>-4932.801+496.2266</f>
        <v>-4436.5744</v>
      </c>
      <c r="F12" s="124">
        <v>12367.1756</v>
      </c>
      <c r="G12" s="124">
        <v>2106.9424</v>
      </c>
      <c r="H12" s="124">
        <f t="shared" si="0"/>
        <v>14474.118</v>
      </c>
    </row>
    <row r="13" spans="1:8" ht="15" customHeight="1" hidden="1">
      <c r="A13" s="10" t="s">
        <v>10</v>
      </c>
      <c r="B13" s="11" t="s">
        <v>6</v>
      </c>
      <c r="C13" s="11" t="s">
        <v>11</v>
      </c>
      <c r="D13" s="12"/>
      <c r="E13" s="12"/>
      <c r="F13" s="124">
        <f>D13+E13</f>
        <v>0</v>
      </c>
      <c r="G13" s="124"/>
      <c r="H13" s="124">
        <f t="shared" si="0"/>
        <v>0</v>
      </c>
    </row>
    <row r="14" spans="1:8" ht="28.5" customHeight="1">
      <c r="A14" s="10" t="s">
        <v>379</v>
      </c>
      <c r="B14" s="11" t="s">
        <v>6</v>
      </c>
      <c r="C14" s="11" t="s">
        <v>12</v>
      </c>
      <c r="D14" s="12">
        <v>3549.22</v>
      </c>
      <c r="E14" s="12">
        <v>1012.26</v>
      </c>
      <c r="F14" s="124">
        <v>4779.98</v>
      </c>
      <c r="G14" s="124">
        <v>80.115</v>
      </c>
      <c r="H14" s="124">
        <f t="shared" si="0"/>
        <v>4860.094999999999</v>
      </c>
    </row>
    <row r="15" spans="1:8" ht="15" customHeight="1">
      <c r="A15" s="10" t="s">
        <v>13</v>
      </c>
      <c r="B15" s="11" t="s">
        <v>6</v>
      </c>
      <c r="C15" s="11" t="s">
        <v>14</v>
      </c>
      <c r="D15" s="12">
        <v>100</v>
      </c>
      <c r="E15" s="12">
        <v>100</v>
      </c>
      <c r="F15" s="124">
        <v>1014</v>
      </c>
      <c r="G15" s="124"/>
      <c r="H15" s="124">
        <f t="shared" si="0"/>
        <v>1014</v>
      </c>
    </row>
    <row r="16" spans="1:8" ht="15" customHeight="1">
      <c r="A16" s="10" t="s">
        <v>15</v>
      </c>
      <c r="B16" s="11" t="s">
        <v>6</v>
      </c>
      <c r="C16" s="11" t="s">
        <v>16</v>
      </c>
      <c r="D16" s="12">
        <v>333</v>
      </c>
      <c r="E16" s="12">
        <v>-220</v>
      </c>
      <c r="F16" s="124">
        <v>60</v>
      </c>
      <c r="G16" s="124">
        <v>-60</v>
      </c>
      <c r="H16" s="124">
        <f t="shared" si="0"/>
        <v>0</v>
      </c>
    </row>
    <row r="17" spans="1:8" ht="15" customHeight="1">
      <c r="A17" s="25" t="s">
        <v>19</v>
      </c>
      <c r="B17" s="11" t="s">
        <v>6</v>
      </c>
      <c r="C17" s="11" t="s">
        <v>18</v>
      </c>
      <c r="D17" s="12">
        <v>976.39</v>
      </c>
      <c r="E17" s="12">
        <f>6683.0366-496.2266</f>
        <v>6186.81</v>
      </c>
      <c r="F17" s="124">
        <v>7584.24</v>
      </c>
      <c r="G17" s="124">
        <v>219.89</v>
      </c>
      <c r="H17" s="124">
        <f t="shared" si="0"/>
        <v>7804.13</v>
      </c>
    </row>
    <row r="18" spans="1:8" ht="15" customHeight="1">
      <c r="A18" s="7" t="s">
        <v>21</v>
      </c>
      <c r="B18" s="142" t="s">
        <v>22</v>
      </c>
      <c r="C18" s="142"/>
      <c r="D18" s="13">
        <f>D19</f>
        <v>564.6</v>
      </c>
      <c r="E18" s="13">
        <f>E19</f>
        <v>21.7</v>
      </c>
      <c r="F18" s="125">
        <f>F19</f>
        <v>531.9</v>
      </c>
      <c r="G18" s="125">
        <f>G19</f>
        <v>0</v>
      </c>
      <c r="H18" s="125">
        <f>H19</f>
        <v>531.9</v>
      </c>
    </row>
    <row r="19" spans="1:8" ht="15" customHeight="1">
      <c r="A19" s="10" t="s">
        <v>23</v>
      </c>
      <c r="B19" s="11" t="s">
        <v>7</v>
      </c>
      <c r="C19" s="11" t="s">
        <v>8</v>
      </c>
      <c r="D19" s="12">
        <v>564.6</v>
      </c>
      <c r="E19" s="12">
        <v>21.7</v>
      </c>
      <c r="F19" s="124">
        <v>531.9</v>
      </c>
      <c r="G19" s="124"/>
      <c r="H19" s="124">
        <f t="shared" si="0"/>
        <v>531.9</v>
      </c>
    </row>
    <row r="20" spans="1:8" ht="15" customHeight="1">
      <c r="A20" s="7" t="s">
        <v>24</v>
      </c>
      <c r="B20" s="142" t="s">
        <v>25</v>
      </c>
      <c r="C20" s="142"/>
      <c r="D20" s="14">
        <f>SUM(D21:D23)</f>
        <v>100</v>
      </c>
      <c r="E20" s="14">
        <f>SUM(E21:E23)</f>
        <v>502.851</v>
      </c>
      <c r="F20" s="125">
        <f>F22+F23</f>
        <v>1115.751</v>
      </c>
      <c r="G20" s="123">
        <f>SUM(G21:G23)</f>
        <v>-45.792</v>
      </c>
      <c r="H20" s="125">
        <f t="shared" si="0"/>
        <v>1069.959</v>
      </c>
    </row>
    <row r="21" spans="1:8" ht="15" customHeight="1" hidden="1">
      <c r="A21" s="10" t="s">
        <v>26</v>
      </c>
      <c r="B21" s="11" t="s">
        <v>8</v>
      </c>
      <c r="C21" s="11" t="s">
        <v>7</v>
      </c>
      <c r="D21" s="12"/>
      <c r="E21" s="12"/>
      <c r="F21" s="124">
        <f>D21+E21</f>
        <v>0</v>
      </c>
      <c r="G21" s="124"/>
      <c r="H21" s="124">
        <f t="shared" si="0"/>
        <v>0</v>
      </c>
    </row>
    <row r="22" spans="1:8" ht="25.5" customHeight="1">
      <c r="A22" s="10" t="s">
        <v>27</v>
      </c>
      <c r="B22" s="11" t="s">
        <v>8</v>
      </c>
      <c r="C22" s="11" t="s">
        <v>28</v>
      </c>
      <c r="D22" s="12">
        <v>75</v>
      </c>
      <c r="E22" s="12">
        <v>482.851</v>
      </c>
      <c r="F22" s="124">
        <v>1058.151</v>
      </c>
      <c r="G22" s="124">
        <v>-51.792</v>
      </c>
      <c r="H22" s="124">
        <f t="shared" si="0"/>
        <v>1006.359</v>
      </c>
    </row>
    <row r="23" spans="1:8" ht="15" customHeight="1">
      <c r="A23" s="10" t="s">
        <v>29</v>
      </c>
      <c r="B23" s="11" t="s">
        <v>8</v>
      </c>
      <c r="C23" s="11" t="s">
        <v>20</v>
      </c>
      <c r="D23" s="12">
        <v>25</v>
      </c>
      <c r="E23" s="12">
        <v>20</v>
      </c>
      <c r="F23" s="124">
        <v>57.6</v>
      </c>
      <c r="G23" s="124">
        <v>6</v>
      </c>
      <c r="H23" s="124">
        <f t="shared" si="0"/>
        <v>63.6</v>
      </c>
    </row>
    <row r="24" spans="1:8" ht="15" customHeight="1">
      <c r="A24" s="7" t="s">
        <v>30</v>
      </c>
      <c r="B24" s="142" t="s">
        <v>31</v>
      </c>
      <c r="C24" s="142"/>
      <c r="D24" s="14">
        <f>SUM(D25:D28)</f>
        <v>1536.54</v>
      </c>
      <c r="E24" s="14">
        <f>SUM(E25:E28)</f>
        <v>1356.95</v>
      </c>
      <c r="F24" s="125">
        <f>F26+F28+F27</f>
        <v>10285.705</v>
      </c>
      <c r="G24" s="125">
        <f>G26+G28+G27</f>
        <v>1856.119</v>
      </c>
      <c r="H24" s="125">
        <f>H26+H28+H27</f>
        <v>12141.824</v>
      </c>
    </row>
    <row r="25" spans="1:8" ht="15" customHeight="1" hidden="1">
      <c r="A25" s="10" t="s">
        <v>32</v>
      </c>
      <c r="B25" s="11" t="s">
        <v>9</v>
      </c>
      <c r="C25" s="11" t="s">
        <v>6</v>
      </c>
      <c r="D25" s="12"/>
      <c r="E25" s="12"/>
      <c r="F25" s="124">
        <f>D25+E25</f>
        <v>0</v>
      </c>
      <c r="G25" s="124"/>
      <c r="H25" s="124">
        <f t="shared" si="0"/>
        <v>0</v>
      </c>
    </row>
    <row r="26" spans="1:8" ht="15" customHeight="1">
      <c r="A26" s="10" t="s">
        <v>33</v>
      </c>
      <c r="B26" s="11" t="s">
        <v>9</v>
      </c>
      <c r="C26" s="11" t="s">
        <v>11</v>
      </c>
      <c r="D26" s="12">
        <v>160</v>
      </c>
      <c r="E26" s="12">
        <v>160</v>
      </c>
      <c r="F26" s="124">
        <v>520</v>
      </c>
      <c r="G26" s="124">
        <v>-25</v>
      </c>
      <c r="H26" s="124">
        <f t="shared" si="0"/>
        <v>495</v>
      </c>
    </row>
    <row r="27" spans="1:8" ht="15" customHeight="1">
      <c r="A27" s="10" t="s">
        <v>418</v>
      </c>
      <c r="B27" s="11" t="s">
        <v>9</v>
      </c>
      <c r="C27" s="11" t="s">
        <v>28</v>
      </c>
      <c r="D27" s="12"/>
      <c r="E27" s="12"/>
      <c r="F27" s="124">
        <v>4796.215</v>
      </c>
      <c r="G27" s="124">
        <f>-0.01</f>
        <v>-0.01</v>
      </c>
      <c r="H27" s="124">
        <f t="shared" si="0"/>
        <v>4796.205</v>
      </c>
    </row>
    <row r="28" spans="1:8" ht="15" customHeight="1">
      <c r="A28" s="10" t="s">
        <v>35</v>
      </c>
      <c r="B28" s="11" t="s">
        <v>9</v>
      </c>
      <c r="C28" s="11" t="s">
        <v>17</v>
      </c>
      <c r="D28" s="12">
        <v>1376.54</v>
      </c>
      <c r="E28" s="12">
        <v>1196.95</v>
      </c>
      <c r="F28" s="124">
        <v>4969.49</v>
      </c>
      <c r="G28" s="124">
        <v>1881.129</v>
      </c>
      <c r="H28" s="124">
        <f t="shared" si="0"/>
        <v>6850.619</v>
      </c>
    </row>
    <row r="29" spans="1:8" ht="15" customHeight="1">
      <c r="A29" s="7" t="s">
        <v>36</v>
      </c>
      <c r="B29" s="142" t="s">
        <v>37</v>
      </c>
      <c r="C29" s="142"/>
      <c r="D29" s="14">
        <f>SUM(D30:D32)</f>
        <v>2350</v>
      </c>
      <c r="E29" s="14">
        <f>SUM(E30:E32)</f>
        <v>2737.6059999999998</v>
      </c>
      <c r="F29" s="125">
        <f>F31+F32</f>
        <v>12800.8944</v>
      </c>
      <c r="G29" s="125">
        <f>G31+G32</f>
        <v>1117.151</v>
      </c>
      <c r="H29" s="125">
        <f>H31+H32</f>
        <v>13918.0454</v>
      </c>
    </row>
    <row r="30" spans="1:8" ht="15" customHeight="1" hidden="1">
      <c r="A30" s="10" t="s">
        <v>38</v>
      </c>
      <c r="B30" s="11" t="s">
        <v>11</v>
      </c>
      <c r="C30" s="11" t="s">
        <v>6</v>
      </c>
      <c r="D30" s="12"/>
      <c r="E30" s="12"/>
      <c r="F30" s="124">
        <f>D30+E30</f>
        <v>0</v>
      </c>
      <c r="G30" s="124"/>
      <c r="H30" s="124">
        <f t="shared" si="0"/>
        <v>0</v>
      </c>
    </row>
    <row r="31" spans="1:8" ht="15" customHeight="1">
      <c r="A31" s="10" t="s">
        <v>39</v>
      </c>
      <c r="B31" s="11" t="s">
        <v>11</v>
      </c>
      <c r="C31" s="11" t="s">
        <v>7</v>
      </c>
      <c r="D31" s="12">
        <v>2350</v>
      </c>
      <c r="E31" s="12">
        <f>2137.616-0.01</f>
        <v>2137.6059999999998</v>
      </c>
      <c r="F31" s="124">
        <v>11720.8344</v>
      </c>
      <c r="G31" s="124">
        <v>966.451</v>
      </c>
      <c r="H31" s="124">
        <f t="shared" si="0"/>
        <v>12687.2854</v>
      </c>
    </row>
    <row r="32" spans="1:8" ht="15" customHeight="1">
      <c r="A32" s="10" t="s">
        <v>40</v>
      </c>
      <c r="B32" s="11" t="s">
        <v>11</v>
      </c>
      <c r="C32" s="11" t="s">
        <v>8</v>
      </c>
      <c r="D32" s="12"/>
      <c r="E32" s="12">
        <v>600</v>
      </c>
      <c r="F32" s="124">
        <v>1080.06</v>
      </c>
      <c r="G32" s="124">
        <v>150.7</v>
      </c>
      <c r="H32" s="124">
        <f t="shared" si="0"/>
        <v>1230.76</v>
      </c>
    </row>
    <row r="33" spans="1:8" s="112" customFormat="1" ht="15" customHeight="1" hidden="1">
      <c r="A33" s="7" t="s">
        <v>506</v>
      </c>
      <c r="B33" s="142" t="s">
        <v>510</v>
      </c>
      <c r="C33" s="142"/>
      <c r="D33" s="13"/>
      <c r="E33" s="13"/>
      <c r="F33" s="125">
        <f>F34</f>
        <v>0</v>
      </c>
      <c r="G33" s="125">
        <f>G34</f>
        <v>0</v>
      </c>
      <c r="H33" s="125">
        <f>H34</f>
        <v>0</v>
      </c>
    </row>
    <row r="34" spans="1:8" ht="27" customHeight="1" hidden="1">
      <c r="A34" s="113" t="s">
        <v>507</v>
      </c>
      <c r="B34" s="11" t="s">
        <v>12</v>
      </c>
      <c r="C34" s="11" t="s">
        <v>8</v>
      </c>
      <c r="D34" s="12"/>
      <c r="E34" s="12"/>
      <c r="F34" s="124">
        <v>0</v>
      </c>
      <c r="G34" s="124">
        <v>0</v>
      </c>
      <c r="H34" s="124">
        <f>F34+G34</f>
        <v>0</v>
      </c>
    </row>
    <row r="35" spans="1:8" ht="15" customHeight="1">
      <c r="A35" s="7" t="s">
        <v>41</v>
      </c>
      <c r="B35" s="142" t="s">
        <v>42</v>
      </c>
      <c r="C35" s="142"/>
      <c r="D35" s="14">
        <f>SUM(D36:D40)</f>
        <v>196132.44</v>
      </c>
      <c r="E35" s="14">
        <f>SUM(E36:E40)</f>
        <v>23192.644000000004</v>
      </c>
      <c r="F35" s="125">
        <f>SUM(F36:F40)</f>
        <v>284621.57999999996</v>
      </c>
      <c r="G35" s="123">
        <f>SUM(G36:G40)</f>
        <v>19399.399660000003</v>
      </c>
      <c r="H35" s="125">
        <f>SUM(H36:H40)</f>
        <v>304020.97966</v>
      </c>
    </row>
    <row r="36" spans="1:8" ht="15" customHeight="1">
      <c r="A36" s="10" t="s">
        <v>43</v>
      </c>
      <c r="B36" s="11" t="s">
        <v>14</v>
      </c>
      <c r="C36" s="11" t="s">
        <v>6</v>
      </c>
      <c r="D36" s="12">
        <v>2564.73</v>
      </c>
      <c r="E36" s="12">
        <v>-2564.73</v>
      </c>
      <c r="F36" s="124">
        <v>18822.32</v>
      </c>
      <c r="G36" s="124">
        <v>4914.473</v>
      </c>
      <c r="H36" s="124">
        <f>F36+G36</f>
        <v>23736.792999999998</v>
      </c>
    </row>
    <row r="37" spans="1:8" ht="15" customHeight="1">
      <c r="A37" s="10" t="s">
        <v>44</v>
      </c>
      <c r="B37" s="11" t="s">
        <v>14</v>
      </c>
      <c r="C37" s="11" t="s">
        <v>7</v>
      </c>
      <c r="D37" s="12">
        <v>187323</v>
      </c>
      <c r="E37" s="12">
        <f>19403.544+0.01</f>
        <v>19403.554</v>
      </c>
      <c r="F37" s="124">
        <v>252349.476</v>
      </c>
      <c r="G37" s="124">
        <v>15137.77503</v>
      </c>
      <c r="H37" s="124">
        <f>F37+G37</f>
        <v>267487.25103</v>
      </c>
    </row>
    <row r="38" spans="1:8" ht="15" customHeight="1">
      <c r="A38" s="10" t="s">
        <v>45</v>
      </c>
      <c r="B38" s="11" t="s">
        <v>14</v>
      </c>
      <c r="C38" s="11" t="s">
        <v>11</v>
      </c>
      <c r="D38" s="12">
        <v>131.5</v>
      </c>
      <c r="E38" s="12">
        <v>671.7</v>
      </c>
      <c r="F38" s="124">
        <v>2316.827</v>
      </c>
      <c r="G38" s="124">
        <v>-775.907</v>
      </c>
      <c r="H38" s="124">
        <f>F38+G38</f>
        <v>1540.92</v>
      </c>
    </row>
    <row r="39" spans="1:8" ht="15" customHeight="1">
      <c r="A39" s="10" t="s">
        <v>46</v>
      </c>
      <c r="B39" s="11" t="s">
        <v>14</v>
      </c>
      <c r="C39" s="11" t="s">
        <v>14</v>
      </c>
      <c r="D39" s="12">
        <v>408.8</v>
      </c>
      <c r="E39" s="12">
        <v>1749.47</v>
      </c>
      <c r="F39" s="124">
        <v>2472.95</v>
      </c>
      <c r="G39" s="124">
        <v>0</v>
      </c>
      <c r="H39" s="124">
        <f>F39+G39</f>
        <v>2472.95</v>
      </c>
    </row>
    <row r="40" spans="1:8" ht="15" customHeight="1">
      <c r="A40" s="10" t="s">
        <v>47</v>
      </c>
      <c r="B40" s="11" t="s">
        <v>14</v>
      </c>
      <c r="C40" s="11" t="s">
        <v>28</v>
      </c>
      <c r="D40" s="12">
        <v>5704.41</v>
      </c>
      <c r="E40" s="12">
        <v>3932.65</v>
      </c>
      <c r="F40" s="124">
        <v>8660.007</v>
      </c>
      <c r="G40" s="124">
        <v>123.05863</v>
      </c>
      <c r="H40" s="124">
        <f>F40+G40</f>
        <v>8783.06563</v>
      </c>
    </row>
    <row r="41" spans="1:8" ht="15" customHeight="1">
      <c r="A41" s="7" t="s">
        <v>48</v>
      </c>
      <c r="B41" s="142" t="s">
        <v>49</v>
      </c>
      <c r="C41" s="142"/>
      <c r="D41" s="14">
        <f>SUM(D42:D43)</f>
        <v>8517.099999999999</v>
      </c>
      <c r="E41" s="14">
        <f>SUM(E42:E43)</f>
        <v>509.8234</v>
      </c>
      <c r="F41" s="125">
        <f>F42++F43</f>
        <v>17011.63255</v>
      </c>
      <c r="G41" s="125">
        <f>G42++G43</f>
        <v>207.27659999999997</v>
      </c>
      <c r="H41" s="125">
        <f>H42++H43</f>
        <v>17218.90915</v>
      </c>
    </row>
    <row r="42" spans="1:8" ht="15" customHeight="1">
      <c r="A42" s="10" t="s">
        <v>50</v>
      </c>
      <c r="B42" s="11" t="s">
        <v>34</v>
      </c>
      <c r="C42" s="11" t="s">
        <v>6</v>
      </c>
      <c r="D42" s="12">
        <v>6067.61</v>
      </c>
      <c r="E42" s="12">
        <v>-271.38</v>
      </c>
      <c r="F42" s="124">
        <v>13941.26247</v>
      </c>
      <c r="G42" s="124">
        <f>317.008+25</f>
        <v>342.008</v>
      </c>
      <c r="H42" s="124">
        <f aca="true" t="shared" si="1" ref="H42:H64">F42+G42</f>
        <v>14283.27047</v>
      </c>
    </row>
    <row r="43" spans="1:8" ht="15" customHeight="1">
      <c r="A43" s="10" t="s">
        <v>52</v>
      </c>
      <c r="B43" s="11" t="s">
        <v>34</v>
      </c>
      <c r="C43" s="11" t="s">
        <v>9</v>
      </c>
      <c r="D43" s="12">
        <v>2449.49</v>
      </c>
      <c r="E43" s="12">
        <v>781.2034</v>
      </c>
      <c r="F43" s="124">
        <v>3070.37008</v>
      </c>
      <c r="G43" s="124">
        <f>-109.7314-25</f>
        <v>-134.7314</v>
      </c>
      <c r="H43" s="124">
        <f t="shared" si="1"/>
        <v>2935.63868</v>
      </c>
    </row>
    <row r="44" spans="1:8" ht="15" customHeight="1">
      <c r="A44" s="7" t="s">
        <v>53</v>
      </c>
      <c r="B44" s="142" t="s">
        <v>54</v>
      </c>
      <c r="C44" s="142"/>
      <c r="D44" s="14">
        <f>SUM(D45:D48)</f>
        <v>0</v>
      </c>
      <c r="E44" s="14">
        <f>SUM(E45:E48)</f>
        <v>500</v>
      </c>
      <c r="F44" s="125">
        <f>D44+E44</f>
        <v>500</v>
      </c>
      <c r="G44" s="123">
        <f>SUM(G45:G48)</f>
        <v>-15</v>
      </c>
      <c r="H44" s="125">
        <f t="shared" si="1"/>
        <v>485</v>
      </c>
    </row>
    <row r="45" spans="1:8" ht="15" customHeight="1" hidden="1">
      <c r="A45" s="10" t="s">
        <v>55</v>
      </c>
      <c r="B45" s="11" t="s">
        <v>28</v>
      </c>
      <c r="C45" s="11" t="s">
        <v>6</v>
      </c>
      <c r="D45" s="12"/>
      <c r="E45" s="12"/>
      <c r="F45" s="124">
        <f>D45+E45</f>
        <v>0</v>
      </c>
      <c r="G45" s="124"/>
      <c r="H45" s="124">
        <f t="shared" si="1"/>
        <v>0</v>
      </c>
    </row>
    <row r="46" spans="1:8" ht="15" customHeight="1" hidden="1">
      <c r="A46" s="10" t="s">
        <v>56</v>
      </c>
      <c r="B46" s="11" t="s">
        <v>28</v>
      </c>
      <c r="C46" s="11" t="s">
        <v>7</v>
      </c>
      <c r="D46" s="12"/>
      <c r="E46" s="12"/>
      <c r="F46" s="124">
        <f>D46+E46</f>
        <v>0</v>
      </c>
      <c r="G46" s="124"/>
      <c r="H46" s="124">
        <f t="shared" si="1"/>
        <v>0</v>
      </c>
    </row>
    <row r="47" spans="1:8" ht="15" customHeight="1" hidden="1">
      <c r="A47" s="10" t="s">
        <v>57</v>
      </c>
      <c r="B47" s="11" t="s">
        <v>28</v>
      </c>
      <c r="C47" s="11" t="s">
        <v>9</v>
      </c>
      <c r="D47" s="12"/>
      <c r="E47" s="12"/>
      <c r="F47" s="124">
        <f>D47+E47</f>
        <v>0</v>
      </c>
      <c r="G47" s="124"/>
      <c r="H47" s="124">
        <f t="shared" si="1"/>
        <v>0</v>
      </c>
    </row>
    <row r="48" spans="1:8" ht="15" customHeight="1">
      <c r="A48" s="10" t="s">
        <v>59</v>
      </c>
      <c r="B48" s="11" t="s">
        <v>28</v>
      </c>
      <c r="C48" s="11" t="s">
        <v>28</v>
      </c>
      <c r="D48" s="12"/>
      <c r="E48" s="12">
        <v>500</v>
      </c>
      <c r="F48" s="124">
        <f>D48+E48</f>
        <v>500</v>
      </c>
      <c r="G48" s="124">
        <v>-15</v>
      </c>
      <c r="H48" s="124">
        <f t="shared" si="1"/>
        <v>485</v>
      </c>
    </row>
    <row r="49" spans="1:8" ht="15" customHeight="1">
      <c r="A49" s="7" t="s">
        <v>62</v>
      </c>
      <c r="B49" s="142" t="s">
        <v>63</v>
      </c>
      <c r="C49" s="142"/>
      <c r="D49" s="14">
        <f>SUM(D50:D54)</f>
        <v>19266.269999999997</v>
      </c>
      <c r="E49" s="14">
        <f>SUM(E50:E54)</f>
        <v>6470.23</v>
      </c>
      <c r="F49" s="125">
        <f>SUM(F50:F54)</f>
        <v>14872.113000000001</v>
      </c>
      <c r="G49" s="123">
        <f>SUM(G50:G54)</f>
        <v>5054.692650000001</v>
      </c>
      <c r="H49" s="125">
        <f t="shared" si="1"/>
        <v>19926.805650000002</v>
      </c>
    </row>
    <row r="50" spans="1:8" ht="15" customHeight="1">
      <c r="A50" s="10" t="s">
        <v>64</v>
      </c>
      <c r="B50" s="11" t="s">
        <v>61</v>
      </c>
      <c r="C50" s="11" t="s">
        <v>6</v>
      </c>
      <c r="D50" s="12">
        <v>45</v>
      </c>
      <c r="E50" s="12">
        <v>78</v>
      </c>
      <c r="F50" s="124">
        <f>D50+E50</f>
        <v>123</v>
      </c>
      <c r="G50" s="124">
        <v>-27.4</v>
      </c>
      <c r="H50" s="124">
        <f t="shared" si="1"/>
        <v>95.6</v>
      </c>
    </row>
    <row r="51" spans="1:8" ht="15" customHeight="1">
      <c r="A51" s="10" t="s">
        <v>65</v>
      </c>
      <c r="B51" s="11" t="s">
        <v>61</v>
      </c>
      <c r="C51" s="11" t="s">
        <v>7</v>
      </c>
      <c r="D51" s="12">
        <v>363.57</v>
      </c>
      <c r="E51" s="12">
        <v>-363.57</v>
      </c>
      <c r="F51" s="124">
        <f>D51+E51</f>
        <v>0</v>
      </c>
      <c r="G51" s="124"/>
      <c r="H51" s="124">
        <f t="shared" si="1"/>
        <v>0</v>
      </c>
    </row>
    <row r="52" spans="1:8" ht="15" customHeight="1">
      <c r="A52" s="10" t="s">
        <v>66</v>
      </c>
      <c r="B52" s="11" t="s">
        <v>61</v>
      </c>
      <c r="C52" s="11" t="s">
        <v>8</v>
      </c>
      <c r="D52" s="12">
        <v>1066</v>
      </c>
      <c r="E52" s="12">
        <v>2246.5</v>
      </c>
      <c r="F52" s="124">
        <v>4530.761</v>
      </c>
      <c r="G52" s="124">
        <v>4394.363</v>
      </c>
      <c r="H52" s="124">
        <f t="shared" si="1"/>
        <v>8925.124</v>
      </c>
    </row>
    <row r="53" spans="1:8" ht="15" customHeight="1">
      <c r="A53" s="10" t="s">
        <v>67</v>
      </c>
      <c r="B53" s="11" t="s">
        <v>61</v>
      </c>
      <c r="C53" s="11" t="s">
        <v>9</v>
      </c>
      <c r="D53" s="12">
        <v>17598.1</v>
      </c>
      <c r="E53" s="12">
        <v>4482.9</v>
      </c>
      <c r="F53" s="124">
        <v>9968.352</v>
      </c>
      <c r="G53" s="124">
        <v>687.72965</v>
      </c>
      <c r="H53" s="124">
        <f t="shared" si="1"/>
        <v>10656.08165</v>
      </c>
    </row>
    <row r="54" spans="1:8" ht="15" customHeight="1">
      <c r="A54" s="10" t="s">
        <v>68</v>
      </c>
      <c r="B54" s="11" t="s">
        <v>61</v>
      </c>
      <c r="C54" s="11" t="s">
        <v>12</v>
      </c>
      <c r="D54" s="12">
        <v>193.6</v>
      </c>
      <c r="E54" s="12">
        <v>26.4</v>
      </c>
      <c r="F54" s="124">
        <v>250</v>
      </c>
      <c r="G54" s="124">
        <v>0</v>
      </c>
      <c r="H54" s="124">
        <f t="shared" si="1"/>
        <v>250</v>
      </c>
    </row>
    <row r="55" spans="1:8" ht="15" customHeight="1">
      <c r="A55" s="7" t="s">
        <v>58</v>
      </c>
      <c r="B55" s="142" t="s">
        <v>69</v>
      </c>
      <c r="C55" s="142"/>
      <c r="D55" s="13">
        <f>D56</f>
        <v>1287.58</v>
      </c>
      <c r="E55" s="13">
        <f>E56</f>
        <v>582.42</v>
      </c>
      <c r="F55" s="125">
        <f>F56</f>
        <v>3062.26</v>
      </c>
      <c r="G55" s="125">
        <f>G56</f>
        <v>0</v>
      </c>
      <c r="H55" s="125">
        <f t="shared" si="1"/>
        <v>3062.26</v>
      </c>
    </row>
    <row r="56" spans="1:8" ht="15" customHeight="1">
      <c r="A56" s="10" t="s">
        <v>70</v>
      </c>
      <c r="B56" s="11" t="s">
        <v>16</v>
      </c>
      <c r="C56" s="11" t="s">
        <v>6</v>
      </c>
      <c r="D56" s="12">
        <v>1287.58</v>
      </c>
      <c r="E56" s="12">
        <v>582.42</v>
      </c>
      <c r="F56" s="124">
        <v>3062.26</v>
      </c>
      <c r="G56" s="124">
        <v>0</v>
      </c>
      <c r="H56" s="124">
        <f t="shared" si="1"/>
        <v>3062.26</v>
      </c>
    </row>
    <row r="57" spans="1:8" ht="15" customHeight="1">
      <c r="A57" s="7" t="s">
        <v>71</v>
      </c>
      <c r="B57" s="142" t="s">
        <v>72</v>
      </c>
      <c r="C57" s="142"/>
      <c r="D57" s="13">
        <f>D58</f>
        <v>903.6</v>
      </c>
      <c r="E57" s="13">
        <f>E58</f>
        <v>230.42</v>
      </c>
      <c r="F57" s="125">
        <f>F58</f>
        <v>1202.02</v>
      </c>
      <c r="G57" s="125">
        <f>G58</f>
        <v>0</v>
      </c>
      <c r="H57" s="125">
        <f>H58</f>
        <v>1202.02</v>
      </c>
    </row>
    <row r="58" spans="1:8" ht="15" customHeight="1">
      <c r="A58" s="10" t="s">
        <v>51</v>
      </c>
      <c r="B58" s="11" t="s">
        <v>17</v>
      </c>
      <c r="C58" s="11" t="s">
        <v>7</v>
      </c>
      <c r="D58" s="12">
        <v>903.6</v>
      </c>
      <c r="E58" s="12">
        <v>230.42</v>
      </c>
      <c r="F58" s="124">
        <v>1202.02</v>
      </c>
      <c r="G58" s="124"/>
      <c r="H58" s="124">
        <f t="shared" si="1"/>
        <v>1202.02</v>
      </c>
    </row>
    <row r="59" spans="1:8" ht="15" customHeight="1">
      <c r="A59" s="7" t="s">
        <v>73</v>
      </c>
      <c r="B59" s="142" t="s">
        <v>74</v>
      </c>
      <c r="C59" s="142"/>
      <c r="D59" s="13">
        <f>D60</f>
        <v>45.04</v>
      </c>
      <c r="E59" s="13">
        <f>E60</f>
        <v>154.96</v>
      </c>
      <c r="F59" s="125">
        <f>D59+E59</f>
        <v>200</v>
      </c>
      <c r="G59" s="125">
        <f>G60</f>
        <v>66.22197</v>
      </c>
      <c r="H59" s="125">
        <f t="shared" si="1"/>
        <v>266.22197</v>
      </c>
    </row>
    <row r="60" spans="1:8" ht="24.75" customHeight="1">
      <c r="A60" s="10" t="s">
        <v>75</v>
      </c>
      <c r="B60" s="11" t="s">
        <v>18</v>
      </c>
      <c r="C60" s="11" t="s">
        <v>6</v>
      </c>
      <c r="D60" s="12">
        <v>45.04</v>
      </c>
      <c r="E60" s="12">
        <v>154.96</v>
      </c>
      <c r="F60" s="124">
        <f>D60+E60</f>
        <v>200</v>
      </c>
      <c r="G60" s="124">
        <v>66.22197</v>
      </c>
      <c r="H60" s="124">
        <f t="shared" si="1"/>
        <v>266.22197</v>
      </c>
    </row>
    <row r="61" spans="1:8" ht="23.25" customHeight="1">
      <c r="A61" s="7" t="s">
        <v>76</v>
      </c>
      <c r="B61" s="142" t="s">
        <v>77</v>
      </c>
      <c r="C61" s="142"/>
      <c r="D61" s="13">
        <f>D62+D63</f>
        <v>29125.9</v>
      </c>
      <c r="E61" s="13">
        <f>E62+E63</f>
        <v>5772.5</v>
      </c>
      <c r="F61" s="125">
        <f>F62+F63</f>
        <v>35671.08</v>
      </c>
      <c r="G61" s="125">
        <f>G62+G63</f>
        <v>27.4587</v>
      </c>
      <c r="H61" s="125">
        <f>H62+H63</f>
        <v>35698.538700000005</v>
      </c>
    </row>
    <row r="62" spans="1:8" ht="23.25" customHeight="1">
      <c r="A62" s="10" t="s">
        <v>78</v>
      </c>
      <c r="B62" s="11" t="s">
        <v>20</v>
      </c>
      <c r="C62" s="11" t="s">
        <v>6</v>
      </c>
      <c r="D62" s="12">
        <v>29125.9</v>
      </c>
      <c r="E62" s="12">
        <v>5772.5</v>
      </c>
      <c r="F62" s="124">
        <f>D62+E62</f>
        <v>34898.4</v>
      </c>
      <c r="G62" s="124">
        <v>0</v>
      </c>
      <c r="H62" s="124">
        <f t="shared" si="1"/>
        <v>34898.4</v>
      </c>
    </row>
    <row r="63" spans="1:8" ht="26.25" customHeight="1">
      <c r="A63" s="10" t="s">
        <v>79</v>
      </c>
      <c r="B63" s="11" t="s">
        <v>20</v>
      </c>
      <c r="C63" s="11" t="s">
        <v>8</v>
      </c>
      <c r="D63" s="12"/>
      <c r="E63" s="12"/>
      <c r="F63" s="124">
        <v>772.68</v>
      </c>
      <c r="G63" s="124">
        <v>27.4587</v>
      </c>
      <c r="H63" s="124">
        <f t="shared" si="1"/>
        <v>800.1387</v>
      </c>
    </row>
    <row r="64" spans="1:8" ht="17.25" customHeight="1" hidden="1">
      <c r="A64" s="10" t="s">
        <v>458</v>
      </c>
      <c r="B64" s="11" t="s">
        <v>446</v>
      </c>
      <c r="C64" s="11" t="s">
        <v>446</v>
      </c>
      <c r="D64" s="12">
        <v>7294.84</v>
      </c>
      <c r="E64" s="12">
        <v>-7294.84</v>
      </c>
      <c r="F64" s="124">
        <f>D64+E64</f>
        <v>0</v>
      </c>
      <c r="G64" s="124"/>
      <c r="H64" s="124">
        <f t="shared" si="1"/>
        <v>0</v>
      </c>
    </row>
    <row r="65" spans="1:8" ht="12.75">
      <c r="A65" s="7" t="s">
        <v>80</v>
      </c>
      <c r="B65" s="8"/>
      <c r="C65" s="8"/>
      <c r="D65" s="14">
        <f>D9+D18+D20+D24+D29+D35+D41+D44+D49+D55+D57+D59+D61+D64</f>
        <v>291793.60000000003</v>
      </c>
      <c r="E65" s="14">
        <f>E9+E18+E20+E24+E29+E35+E41+E44+E49+E55+E57+E59+E61+E64</f>
        <v>37368.399999999994</v>
      </c>
      <c r="F65" s="123">
        <f>F9+F18+F20+F24+F29+F35+F41+F44+F49+F55+F57+F59+F61+F64+F33</f>
        <v>410648.80155</v>
      </c>
      <c r="G65" s="123">
        <f>G9+G18+G20+G24+G29+G35+G41+G44+G49+G55+G57+G59+G61+G64+G33</f>
        <v>30036.848980000002</v>
      </c>
      <c r="H65" s="123">
        <f>H9+H18+H20+H24+H29+H35+H41+H44+H49+H55+H57+H59+H61+H64+H33</f>
        <v>440685.6505300001</v>
      </c>
    </row>
    <row r="66" spans="4:8" ht="12.75">
      <c r="D66" s="15"/>
      <c r="E66" s="15"/>
      <c r="H66" s="141"/>
    </row>
    <row r="67" spans="4:5" ht="12.75">
      <c r="D67" s="15"/>
      <c r="E67" s="15"/>
    </row>
  </sheetData>
  <sheetProtection/>
  <mergeCells count="18">
    <mergeCell ref="B49:C49"/>
    <mergeCell ref="B55:C55"/>
    <mergeCell ref="B57:C57"/>
    <mergeCell ref="B59:C59"/>
    <mergeCell ref="B61:C61"/>
    <mergeCell ref="B20:C20"/>
    <mergeCell ref="B24:C24"/>
    <mergeCell ref="B29:C29"/>
    <mergeCell ref="B35:C35"/>
    <mergeCell ref="B41:C41"/>
    <mergeCell ref="B44:C44"/>
    <mergeCell ref="B9:C9"/>
    <mergeCell ref="B18:C18"/>
    <mergeCell ref="F3:H3"/>
    <mergeCell ref="F2:H2"/>
    <mergeCell ref="A6:H6"/>
    <mergeCell ref="A5:H5"/>
    <mergeCell ref="B33:C33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1"/>
  <sheetViews>
    <sheetView tabSelected="1" view="pageBreakPreview" zoomScaleSheetLayoutView="100" zoomScalePageLayoutView="0" workbookViewId="0" topLeftCell="A607">
      <selection activeCell="A550" sqref="A550:L611"/>
    </sheetView>
  </sheetViews>
  <sheetFormatPr defaultColWidth="9.140625" defaultRowHeight="12.75"/>
  <cols>
    <col min="1" max="1" width="37.00390625" style="29" customWidth="1"/>
    <col min="2" max="2" width="5.57421875" style="29" customWidth="1"/>
    <col min="3" max="3" width="4.7109375" style="29" customWidth="1"/>
    <col min="4" max="4" width="5.140625" style="29" customWidth="1"/>
    <col min="5" max="5" width="8.140625" style="29" customWidth="1"/>
    <col min="6" max="6" width="5.8515625" style="29" customWidth="1"/>
    <col min="7" max="7" width="0.13671875" style="16" customWidth="1"/>
    <col min="8" max="9" width="12.140625" style="45" hidden="1" customWidth="1"/>
    <col min="10" max="10" width="16.28125" style="45" customWidth="1"/>
    <col min="11" max="11" width="12.421875" style="45" customWidth="1"/>
    <col min="12" max="12" width="12.8515625" style="45" customWidth="1"/>
    <col min="13" max="13" width="9.140625" style="16" customWidth="1"/>
    <col min="14" max="14" width="10.421875" style="16" customWidth="1"/>
    <col min="15" max="16384" width="9.140625" style="16" customWidth="1"/>
  </cols>
  <sheetData>
    <row r="1" spans="2:12" ht="15" customHeight="1">
      <c r="B1" s="60"/>
      <c r="C1" s="60"/>
      <c r="D1" s="60"/>
      <c r="E1" s="61"/>
      <c r="G1" s="57"/>
      <c r="H1" s="57"/>
      <c r="I1" s="57"/>
      <c r="J1" s="163" t="s">
        <v>538</v>
      </c>
      <c r="K1" s="164"/>
      <c r="L1" s="164"/>
    </row>
    <row r="2" spans="2:12" ht="44.25" customHeight="1">
      <c r="B2" s="60"/>
      <c r="C2" s="60"/>
      <c r="D2" s="60"/>
      <c r="E2" s="62"/>
      <c r="G2" s="58"/>
      <c r="H2" s="58"/>
      <c r="I2" s="58"/>
      <c r="J2" s="143" t="s">
        <v>539</v>
      </c>
      <c r="K2" s="144"/>
      <c r="L2" s="144"/>
    </row>
    <row r="3" spans="1:12" ht="32.25" customHeight="1">
      <c r="A3" s="161" t="s">
        <v>501</v>
      </c>
      <c r="B3" s="162"/>
      <c r="C3" s="162"/>
      <c r="D3" s="162"/>
      <c r="E3" s="162"/>
      <c r="F3" s="162"/>
      <c r="G3" s="162"/>
      <c r="H3" s="162"/>
      <c r="I3" s="162"/>
      <c r="J3" s="162"/>
      <c r="K3" s="149"/>
      <c r="L3" s="149"/>
    </row>
    <row r="4" ht="15" customHeight="1">
      <c r="L4" s="45" t="s">
        <v>455</v>
      </c>
    </row>
    <row r="5" spans="1:12" ht="12.75" customHeight="1">
      <c r="A5" s="157" t="s">
        <v>81</v>
      </c>
      <c r="B5" s="157" t="s">
        <v>82</v>
      </c>
      <c r="C5" s="157"/>
      <c r="D5" s="157"/>
      <c r="E5" s="157"/>
      <c r="F5" s="157"/>
      <c r="G5" s="154" t="s">
        <v>83</v>
      </c>
      <c r="H5" s="155" t="s">
        <v>441</v>
      </c>
      <c r="I5" s="158" t="s">
        <v>456</v>
      </c>
      <c r="J5" s="158" t="s">
        <v>441</v>
      </c>
      <c r="K5" s="158" t="s">
        <v>83</v>
      </c>
      <c r="L5" s="158" t="s">
        <v>478</v>
      </c>
    </row>
    <row r="6" spans="1:12" ht="16.5" customHeight="1">
      <c r="A6" s="157"/>
      <c r="B6" s="157" t="s">
        <v>454</v>
      </c>
      <c r="C6" s="157"/>
      <c r="D6" s="157"/>
      <c r="E6" s="157"/>
      <c r="F6" s="157"/>
      <c r="G6" s="154"/>
      <c r="H6" s="156"/>
      <c r="I6" s="159"/>
      <c r="J6" s="160"/>
      <c r="K6" s="159"/>
      <c r="L6" s="158"/>
    </row>
    <row r="7" spans="1:12" ht="20.25" customHeight="1">
      <c r="A7" s="157"/>
      <c r="B7" s="108" t="s">
        <v>451</v>
      </c>
      <c r="C7" s="108" t="s">
        <v>84</v>
      </c>
      <c r="D7" s="108" t="s">
        <v>85</v>
      </c>
      <c r="E7" s="108" t="s">
        <v>452</v>
      </c>
      <c r="F7" s="108" t="s">
        <v>453</v>
      </c>
      <c r="G7" s="154"/>
      <c r="H7" s="156"/>
      <c r="I7" s="159"/>
      <c r="J7" s="160"/>
      <c r="K7" s="159"/>
      <c r="L7" s="158"/>
    </row>
    <row r="8" spans="1:12" s="39" customFormat="1" ht="10.5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/>
      <c r="H8" s="110">
        <v>6</v>
      </c>
      <c r="I8" s="111">
        <v>7</v>
      </c>
      <c r="J8" s="134">
        <v>7</v>
      </c>
      <c r="K8" s="135">
        <v>8</v>
      </c>
      <c r="L8" s="134">
        <v>9</v>
      </c>
    </row>
    <row r="9" spans="1:12" ht="43.5" customHeight="1" hidden="1">
      <c r="A9" s="76" t="s">
        <v>60</v>
      </c>
      <c r="B9" s="63" t="s">
        <v>86</v>
      </c>
      <c r="C9" s="63" t="s">
        <v>28</v>
      </c>
      <c r="D9" s="63" t="s">
        <v>61</v>
      </c>
      <c r="E9" s="63"/>
      <c r="F9" s="63"/>
      <c r="G9" s="17">
        <f aca="true" t="shared" si="0" ref="G9:L11">G10</f>
        <v>0</v>
      </c>
      <c r="H9" s="47">
        <v>0</v>
      </c>
      <c r="I9" s="47">
        <f>I10+I13+I15+I17+I19+I21</f>
        <v>0</v>
      </c>
      <c r="J9" s="47">
        <f>J10+J13+J15+J17+J19+J21</f>
        <v>0</v>
      </c>
      <c r="K9" s="47">
        <f>K10+K13+K15+K17+K19+K21</f>
        <v>0</v>
      </c>
      <c r="L9" s="47">
        <f>L10+L13+L15+L17+L19+L21</f>
        <v>0</v>
      </c>
    </row>
    <row r="10" spans="1:12" ht="45" customHeight="1" hidden="1">
      <c r="A10" s="77" t="s">
        <v>103</v>
      </c>
      <c r="B10" s="64" t="s">
        <v>86</v>
      </c>
      <c r="C10" s="64" t="s">
        <v>28</v>
      </c>
      <c r="D10" s="64" t="s">
        <v>61</v>
      </c>
      <c r="E10" s="64" t="s">
        <v>104</v>
      </c>
      <c r="F10" s="64"/>
      <c r="G10" s="22">
        <f t="shared" si="0"/>
        <v>0</v>
      </c>
      <c r="H10" s="49"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</row>
    <row r="11" spans="1:12" ht="30" customHeight="1" hidden="1">
      <c r="A11" s="77" t="s">
        <v>98</v>
      </c>
      <c r="B11" s="64" t="s">
        <v>86</v>
      </c>
      <c r="C11" s="64" t="s">
        <v>28</v>
      </c>
      <c r="D11" s="64" t="s">
        <v>61</v>
      </c>
      <c r="E11" s="64" t="s">
        <v>105</v>
      </c>
      <c r="F11" s="64"/>
      <c r="G11" s="22">
        <f t="shared" si="0"/>
        <v>0</v>
      </c>
      <c r="H11" s="49"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</row>
    <row r="12" spans="1:12" ht="30.75" customHeight="1" hidden="1">
      <c r="A12" s="77" t="s">
        <v>100</v>
      </c>
      <c r="B12" s="64" t="s">
        <v>86</v>
      </c>
      <c r="C12" s="64" t="s">
        <v>28</v>
      </c>
      <c r="D12" s="64" t="s">
        <v>61</v>
      </c>
      <c r="E12" s="64" t="s">
        <v>105</v>
      </c>
      <c r="F12" s="64" t="s">
        <v>97</v>
      </c>
      <c r="G12" s="22"/>
      <c r="H12" s="49">
        <v>0</v>
      </c>
      <c r="I12" s="49"/>
      <c r="J12" s="49">
        <f>H12+I12</f>
        <v>0</v>
      </c>
      <c r="K12" s="49"/>
      <c r="L12" s="49">
        <f>J12+K12</f>
        <v>0</v>
      </c>
    </row>
    <row r="13" spans="1:12" ht="60.75" customHeight="1" hidden="1">
      <c r="A13" s="77" t="s">
        <v>106</v>
      </c>
      <c r="B13" s="65" t="s">
        <v>86</v>
      </c>
      <c r="C13" s="66" t="s">
        <v>28</v>
      </c>
      <c r="D13" s="66" t="s">
        <v>61</v>
      </c>
      <c r="E13" s="67">
        <v>7952014</v>
      </c>
      <c r="F13" s="66"/>
      <c r="G13" s="23"/>
      <c r="H13" s="49">
        <f>H14</f>
        <v>0</v>
      </c>
      <c r="I13" s="49">
        <f>I14</f>
        <v>0</v>
      </c>
      <c r="J13" s="49">
        <f>J14</f>
        <v>0</v>
      </c>
      <c r="K13" s="49">
        <f>K14</f>
        <v>0</v>
      </c>
      <c r="L13" s="49">
        <f>L14</f>
        <v>0</v>
      </c>
    </row>
    <row r="14" spans="1:12" ht="30" customHeight="1" hidden="1" thickBot="1">
      <c r="A14" s="77" t="s">
        <v>94</v>
      </c>
      <c r="B14" s="66" t="s">
        <v>86</v>
      </c>
      <c r="C14" s="66" t="s">
        <v>28</v>
      </c>
      <c r="D14" s="66" t="s">
        <v>61</v>
      </c>
      <c r="E14" s="67">
        <v>7952014</v>
      </c>
      <c r="F14" s="66" t="s">
        <v>93</v>
      </c>
      <c r="G14" s="22"/>
      <c r="H14" s="49"/>
      <c r="I14" s="49"/>
      <c r="J14" s="49">
        <f>H14+I14</f>
        <v>0</v>
      </c>
      <c r="K14" s="49"/>
      <c r="L14" s="49">
        <f>J14+K14</f>
        <v>0</v>
      </c>
    </row>
    <row r="15" spans="1:12" ht="57.75" customHeight="1" hidden="1" thickBot="1">
      <c r="A15" s="77" t="s">
        <v>107</v>
      </c>
      <c r="B15" s="65" t="s">
        <v>86</v>
      </c>
      <c r="C15" s="66" t="s">
        <v>28</v>
      </c>
      <c r="D15" s="66" t="s">
        <v>61</v>
      </c>
      <c r="E15" s="67">
        <v>7952013</v>
      </c>
      <c r="F15" s="66"/>
      <c r="G15" s="22"/>
      <c r="H15" s="49">
        <f>H16</f>
        <v>0</v>
      </c>
      <c r="I15" s="49">
        <f>I16</f>
        <v>0</v>
      </c>
      <c r="J15" s="49">
        <f>J16</f>
        <v>0</v>
      </c>
      <c r="K15" s="49">
        <f>K16</f>
        <v>0</v>
      </c>
      <c r="L15" s="49">
        <f>L16</f>
        <v>0</v>
      </c>
    </row>
    <row r="16" spans="1:12" ht="30" customHeight="1" hidden="1" thickBot="1">
      <c r="A16" s="77" t="s">
        <v>94</v>
      </c>
      <c r="B16" s="66" t="s">
        <v>86</v>
      </c>
      <c r="C16" s="66" t="s">
        <v>28</v>
      </c>
      <c r="D16" s="66" t="s">
        <v>61</v>
      </c>
      <c r="E16" s="67">
        <v>7952013</v>
      </c>
      <c r="F16" s="66" t="s">
        <v>93</v>
      </c>
      <c r="G16" s="22"/>
      <c r="H16" s="49"/>
      <c r="I16" s="49"/>
      <c r="J16" s="49">
        <f>H16+I16</f>
        <v>0</v>
      </c>
      <c r="K16" s="49"/>
      <c r="L16" s="49">
        <f>J16+K16</f>
        <v>0</v>
      </c>
    </row>
    <row r="17" spans="1:12" ht="57" customHeight="1" hidden="1" thickBot="1">
      <c r="A17" s="77" t="s">
        <v>108</v>
      </c>
      <c r="B17" s="65" t="s">
        <v>86</v>
      </c>
      <c r="C17" s="66" t="s">
        <v>28</v>
      </c>
      <c r="D17" s="66" t="s">
        <v>61</v>
      </c>
      <c r="E17" s="67">
        <v>7952015</v>
      </c>
      <c r="F17" s="66"/>
      <c r="G17" s="22"/>
      <c r="H17" s="49">
        <f>H18</f>
        <v>0</v>
      </c>
      <c r="I17" s="49">
        <f>I18</f>
        <v>0</v>
      </c>
      <c r="J17" s="49">
        <f>J18</f>
        <v>0</v>
      </c>
      <c r="K17" s="49">
        <f>K18</f>
        <v>0</v>
      </c>
      <c r="L17" s="49">
        <f>L18</f>
        <v>0</v>
      </c>
    </row>
    <row r="18" spans="1:12" ht="30" customHeight="1" hidden="1" thickBot="1">
      <c r="A18" s="77" t="s">
        <v>94</v>
      </c>
      <c r="B18" s="66" t="s">
        <v>86</v>
      </c>
      <c r="C18" s="66" t="s">
        <v>28</v>
      </c>
      <c r="D18" s="66" t="s">
        <v>61</v>
      </c>
      <c r="E18" s="67">
        <v>7952015</v>
      </c>
      <c r="F18" s="66" t="s">
        <v>93</v>
      </c>
      <c r="G18" s="22"/>
      <c r="H18" s="49"/>
      <c r="I18" s="49"/>
      <c r="J18" s="49">
        <f>H18+I18</f>
        <v>0</v>
      </c>
      <c r="K18" s="49"/>
      <c r="L18" s="49">
        <f>J18+K18</f>
        <v>0</v>
      </c>
    </row>
    <row r="19" spans="1:12" ht="90" customHeight="1" hidden="1" thickBot="1">
      <c r="A19" s="77" t="s">
        <v>109</v>
      </c>
      <c r="B19" s="65" t="s">
        <v>86</v>
      </c>
      <c r="C19" s="66" t="s">
        <v>28</v>
      </c>
      <c r="D19" s="66" t="s">
        <v>61</v>
      </c>
      <c r="E19" s="67">
        <v>7952016</v>
      </c>
      <c r="F19" s="66"/>
      <c r="G19" s="22"/>
      <c r="H19" s="49">
        <f>H20</f>
        <v>0</v>
      </c>
      <c r="I19" s="49">
        <f>I20</f>
        <v>0</v>
      </c>
      <c r="J19" s="49">
        <f>J20</f>
        <v>0</v>
      </c>
      <c r="K19" s="49">
        <f>K20</f>
        <v>0</v>
      </c>
      <c r="L19" s="49">
        <f>L20</f>
        <v>0</v>
      </c>
    </row>
    <row r="20" spans="1:12" ht="30" customHeight="1" hidden="1" thickBot="1">
      <c r="A20" s="77" t="s">
        <v>94</v>
      </c>
      <c r="B20" s="66" t="s">
        <v>86</v>
      </c>
      <c r="C20" s="66" t="s">
        <v>28</v>
      </c>
      <c r="D20" s="66" t="s">
        <v>61</v>
      </c>
      <c r="E20" s="67">
        <v>7952016</v>
      </c>
      <c r="F20" s="66" t="s">
        <v>93</v>
      </c>
      <c r="G20" s="22"/>
      <c r="H20" s="49"/>
      <c r="I20" s="49"/>
      <c r="J20" s="49">
        <f>H20+I20</f>
        <v>0</v>
      </c>
      <c r="K20" s="49"/>
      <c r="L20" s="49">
        <f>J20+K20</f>
        <v>0</v>
      </c>
    </row>
    <row r="21" spans="1:12" ht="45" customHeight="1" hidden="1" thickBot="1">
      <c r="A21" s="77" t="s">
        <v>110</v>
      </c>
      <c r="B21" s="65" t="s">
        <v>86</v>
      </c>
      <c r="C21" s="66" t="s">
        <v>28</v>
      </c>
      <c r="D21" s="66" t="s">
        <v>61</v>
      </c>
      <c r="E21" s="67">
        <v>7952017</v>
      </c>
      <c r="F21" s="66"/>
      <c r="G21" s="22"/>
      <c r="H21" s="49">
        <f>H22</f>
        <v>0</v>
      </c>
      <c r="I21" s="49">
        <f>I22</f>
        <v>0</v>
      </c>
      <c r="J21" s="49">
        <f>J22</f>
        <v>0</v>
      </c>
      <c r="K21" s="49">
        <f>K22</f>
        <v>0</v>
      </c>
      <c r="L21" s="49">
        <f>L22</f>
        <v>0</v>
      </c>
    </row>
    <row r="22" spans="1:12" ht="33" customHeight="1" hidden="1" thickBot="1">
      <c r="A22" s="77" t="s">
        <v>94</v>
      </c>
      <c r="B22" s="66" t="s">
        <v>86</v>
      </c>
      <c r="C22" s="66" t="s">
        <v>28</v>
      </c>
      <c r="D22" s="66" t="s">
        <v>61</v>
      </c>
      <c r="E22" s="67">
        <v>7952017</v>
      </c>
      <c r="F22" s="66" t="s">
        <v>93</v>
      </c>
      <c r="G22" s="22"/>
      <c r="H22" s="49"/>
      <c r="I22" s="49">
        <f>30-30</f>
        <v>0</v>
      </c>
      <c r="J22" s="49">
        <f>H22+I22</f>
        <v>0</v>
      </c>
      <c r="K22" s="49">
        <f>30-30</f>
        <v>0</v>
      </c>
      <c r="L22" s="49">
        <f>J22+K22</f>
        <v>0</v>
      </c>
    </row>
    <row r="23" spans="1:12" ht="15">
      <c r="A23" s="78" t="s">
        <v>111</v>
      </c>
      <c r="B23" s="68" t="s">
        <v>112</v>
      </c>
      <c r="C23" s="68"/>
      <c r="D23" s="68"/>
      <c r="E23" s="68"/>
      <c r="F23" s="68"/>
      <c r="G23" s="37" t="e">
        <f>#REF!+G24+G150</f>
        <v>#REF!</v>
      </c>
      <c r="H23" s="48" t="e">
        <f>H24+H150</f>
        <v>#REF!</v>
      </c>
      <c r="I23" s="48" t="e">
        <f>I24+I150</f>
        <v>#REF!</v>
      </c>
      <c r="J23" s="48">
        <f>J24+J150</f>
        <v>257785.5069</v>
      </c>
      <c r="K23" s="48">
        <f>K24+K150</f>
        <v>14704.91543</v>
      </c>
      <c r="L23" s="48">
        <f>L24+L150</f>
        <v>272490.42233000003</v>
      </c>
    </row>
    <row r="24" spans="1:12" ht="15">
      <c r="A24" s="76" t="s">
        <v>87</v>
      </c>
      <c r="B24" s="63" t="s">
        <v>112</v>
      </c>
      <c r="C24" s="63" t="s">
        <v>14</v>
      </c>
      <c r="D24" s="63"/>
      <c r="E24" s="63"/>
      <c r="F24" s="63"/>
      <c r="G24" s="17" t="e">
        <f>G25+G43+G114+G119+G128</f>
        <v>#REF!</v>
      </c>
      <c r="H24" s="47" t="e">
        <f>H43+H114+H119+H128+H25</f>
        <v>#REF!</v>
      </c>
      <c r="I24" s="47" t="e">
        <f>I43+I114+I119+I128+I25</f>
        <v>#REF!</v>
      </c>
      <c r="J24" s="47">
        <f>J43+J114+J119+J128+J25</f>
        <v>248675.22090000001</v>
      </c>
      <c r="K24" s="47">
        <f>K43+K114+K119+K128+K25</f>
        <v>14842.18578</v>
      </c>
      <c r="L24" s="47">
        <f>L43+L114+L119+L128+L25</f>
        <v>263517.40668</v>
      </c>
    </row>
    <row r="25" spans="1:12" ht="15" customHeight="1">
      <c r="A25" s="76" t="s">
        <v>43</v>
      </c>
      <c r="B25" s="63" t="s">
        <v>112</v>
      </c>
      <c r="C25" s="63" t="s">
        <v>14</v>
      </c>
      <c r="D25" s="63" t="s">
        <v>6</v>
      </c>
      <c r="E25" s="63"/>
      <c r="F25" s="63"/>
      <c r="G25" s="17">
        <f>G30</f>
        <v>-926.36</v>
      </c>
      <c r="H25" s="47">
        <f>H30+H35+H40</f>
        <v>0</v>
      </c>
      <c r="I25" s="47">
        <f>I30+I35+I40</f>
        <v>0</v>
      </c>
      <c r="J25" s="47">
        <f>J30+J35+J40+J33+J26+J28</f>
        <v>18630.516</v>
      </c>
      <c r="K25" s="47">
        <f>K30+K35+K40+K33+K26+K28</f>
        <v>4990.1</v>
      </c>
      <c r="L25" s="47">
        <f>L30+L35+L40+L33+L26+L28</f>
        <v>23620.616</v>
      </c>
    </row>
    <row r="26" spans="1:12" ht="34.5">
      <c r="A26" s="77" t="s">
        <v>528</v>
      </c>
      <c r="B26" s="64" t="s">
        <v>112</v>
      </c>
      <c r="C26" s="64" t="s">
        <v>14</v>
      </c>
      <c r="D26" s="64" t="s">
        <v>6</v>
      </c>
      <c r="E26" s="64" t="s">
        <v>526</v>
      </c>
      <c r="F26" s="64"/>
      <c r="G26" s="22"/>
      <c r="H26" s="49"/>
      <c r="I26" s="49"/>
      <c r="J26" s="49">
        <f>J27</f>
        <v>0</v>
      </c>
      <c r="K26" s="49">
        <f>K27</f>
        <v>4370</v>
      </c>
      <c r="L26" s="49">
        <f>L27</f>
        <v>4370</v>
      </c>
    </row>
    <row r="27" spans="1:12" ht="15" customHeight="1">
      <c r="A27" s="127" t="s">
        <v>163</v>
      </c>
      <c r="B27" s="64" t="s">
        <v>112</v>
      </c>
      <c r="C27" s="64" t="s">
        <v>14</v>
      </c>
      <c r="D27" s="64" t="s">
        <v>6</v>
      </c>
      <c r="E27" s="64" t="s">
        <v>526</v>
      </c>
      <c r="F27" s="64" t="s">
        <v>134</v>
      </c>
      <c r="G27" s="17"/>
      <c r="H27" s="47"/>
      <c r="I27" s="47"/>
      <c r="J27" s="49"/>
      <c r="K27" s="49">
        <v>4370</v>
      </c>
      <c r="L27" s="49">
        <f>J27+K27</f>
        <v>4370</v>
      </c>
    </row>
    <row r="28" spans="1:12" ht="25.5" customHeight="1">
      <c r="A28" s="127" t="s">
        <v>530</v>
      </c>
      <c r="B28" s="64" t="s">
        <v>112</v>
      </c>
      <c r="C28" s="64" t="s">
        <v>14</v>
      </c>
      <c r="D28" s="64" t="s">
        <v>6</v>
      </c>
      <c r="E28" s="64" t="s">
        <v>529</v>
      </c>
      <c r="F28" s="64"/>
      <c r="G28" s="17"/>
      <c r="H28" s="47"/>
      <c r="I28" s="47"/>
      <c r="J28" s="49">
        <f>J29</f>
        <v>0</v>
      </c>
      <c r="K28" s="49">
        <f>K29</f>
        <v>600</v>
      </c>
      <c r="L28" s="49">
        <f>L29</f>
        <v>600</v>
      </c>
    </row>
    <row r="29" spans="1:12" ht="15" customHeight="1">
      <c r="A29" s="127" t="s">
        <v>163</v>
      </c>
      <c r="B29" s="64" t="s">
        <v>112</v>
      </c>
      <c r="C29" s="64" t="s">
        <v>14</v>
      </c>
      <c r="D29" s="64" t="s">
        <v>6</v>
      </c>
      <c r="E29" s="64" t="s">
        <v>529</v>
      </c>
      <c r="F29" s="64" t="s">
        <v>134</v>
      </c>
      <c r="G29" s="17"/>
      <c r="H29" s="47"/>
      <c r="I29" s="47"/>
      <c r="J29" s="49"/>
      <c r="K29" s="49">
        <v>600</v>
      </c>
      <c r="L29" s="49">
        <f>J29+K29</f>
        <v>600</v>
      </c>
    </row>
    <row r="30" spans="1:12" ht="14.25" customHeight="1">
      <c r="A30" s="77" t="s">
        <v>118</v>
      </c>
      <c r="B30" s="64" t="s">
        <v>112</v>
      </c>
      <c r="C30" s="64" t="s">
        <v>14</v>
      </c>
      <c r="D30" s="64" t="s">
        <v>6</v>
      </c>
      <c r="E30" s="64" t="s">
        <v>119</v>
      </c>
      <c r="F30" s="64"/>
      <c r="G30" s="22">
        <f aca="true" t="shared" si="1" ref="G30:L31">G31</f>
        <v>-926.36</v>
      </c>
      <c r="H30" s="49">
        <f t="shared" si="1"/>
        <v>0</v>
      </c>
      <c r="I30" s="49">
        <f t="shared" si="1"/>
        <v>0</v>
      </c>
      <c r="J30" s="49">
        <f t="shared" si="1"/>
        <v>1506.776</v>
      </c>
      <c r="K30" s="49">
        <f t="shared" si="1"/>
        <v>0</v>
      </c>
      <c r="L30" s="49">
        <f t="shared" si="1"/>
        <v>1506.776</v>
      </c>
    </row>
    <row r="31" spans="1:12" ht="21.75" customHeight="1">
      <c r="A31" s="77" t="s">
        <v>98</v>
      </c>
      <c r="B31" s="64" t="s">
        <v>112</v>
      </c>
      <c r="C31" s="64" t="s">
        <v>14</v>
      </c>
      <c r="D31" s="64" t="s">
        <v>6</v>
      </c>
      <c r="E31" s="64" t="s">
        <v>120</v>
      </c>
      <c r="F31" s="64"/>
      <c r="G31" s="22">
        <f>G32+G39</f>
        <v>-926.36</v>
      </c>
      <c r="H31" s="49">
        <f t="shared" si="1"/>
        <v>0</v>
      </c>
      <c r="I31" s="49">
        <f t="shared" si="1"/>
        <v>0</v>
      </c>
      <c r="J31" s="49">
        <f t="shared" si="1"/>
        <v>1506.776</v>
      </c>
      <c r="K31" s="49">
        <f t="shared" si="1"/>
        <v>0</v>
      </c>
      <c r="L31" s="49">
        <f t="shared" si="1"/>
        <v>1506.776</v>
      </c>
    </row>
    <row r="32" spans="1:12" ht="21.75" customHeight="1">
      <c r="A32" s="127" t="s">
        <v>163</v>
      </c>
      <c r="B32" s="64" t="s">
        <v>112</v>
      </c>
      <c r="C32" s="64" t="s">
        <v>14</v>
      </c>
      <c r="D32" s="64" t="s">
        <v>6</v>
      </c>
      <c r="E32" s="64" t="s">
        <v>120</v>
      </c>
      <c r="F32" s="64" t="s">
        <v>134</v>
      </c>
      <c r="G32" s="22">
        <f>-36.76+103.4</f>
        <v>66.64000000000001</v>
      </c>
      <c r="H32" s="49"/>
      <c r="I32" s="49"/>
      <c r="J32" s="49">
        <v>1506.776</v>
      </c>
      <c r="K32" s="49"/>
      <c r="L32" s="49">
        <f>J32+K32</f>
        <v>1506.776</v>
      </c>
    </row>
    <row r="33" spans="1:12" ht="21.75" customHeight="1">
      <c r="A33" s="127" t="s">
        <v>515</v>
      </c>
      <c r="B33" s="64" t="s">
        <v>112</v>
      </c>
      <c r="C33" s="64" t="s">
        <v>14</v>
      </c>
      <c r="D33" s="64" t="s">
        <v>6</v>
      </c>
      <c r="E33" s="64" t="s">
        <v>516</v>
      </c>
      <c r="F33" s="64"/>
      <c r="G33" s="22"/>
      <c r="H33" s="49"/>
      <c r="I33" s="49"/>
      <c r="J33" s="49">
        <f>J34</f>
        <v>13907.5</v>
      </c>
      <c r="K33" s="49">
        <f>K34</f>
        <v>0</v>
      </c>
      <c r="L33" s="49">
        <f>L34</f>
        <v>13907.5</v>
      </c>
    </row>
    <row r="34" spans="1:12" ht="21.75" customHeight="1">
      <c r="A34" s="127" t="s">
        <v>163</v>
      </c>
      <c r="B34" s="64" t="s">
        <v>112</v>
      </c>
      <c r="C34" s="64" t="s">
        <v>14</v>
      </c>
      <c r="D34" s="64" t="s">
        <v>6</v>
      </c>
      <c r="E34" s="64" t="s">
        <v>516</v>
      </c>
      <c r="F34" s="64" t="s">
        <v>134</v>
      </c>
      <c r="G34" s="22"/>
      <c r="H34" s="49"/>
      <c r="I34" s="49"/>
      <c r="J34" s="49">
        <v>13907.5</v>
      </c>
      <c r="K34" s="49"/>
      <c r="L34" s="49">
        <f>J34+K34</f>
        <v>13907.5</v>
      </c>
    </row>
    <row r="35" spans="1:12" ht="18" customHeight="1">
      <c r="A35" s="79" t="s">
        <v>363</v>
      </c>
      <c r="B35" s="64" t="s">
        <v>112</v>
      </c>
      <c r="C35" s="64" t="s">
        <v>14</v>
      </c>
      <c r="D35" s="64" t="s">
        <v>6</v>
      </c>
      <c r="E35" s="64" t="s">
        <v>318</v>
      </c>
      <c r="F35" s="64"/>
      <c r="G35" s="22"/>
      <c r="H35" s="49">
        <f>H38</f>
        <v>0</v>
      </c>
      <c r="I35" s="49">
        <f>I38</f>
        <v>0</v>
      </c>
      <c r="J35" s="49">
        <f>J38+J36</f>
        <v>1776.24</v>
      </c>
      <c r="K35" s="49">
        <f>K38+K36</f>
        <v>0</v>
      </c>
      <c r="L35" s="49">
        <f>L38+L36</f>
        <v>1776.24</v>
      </c>
    </row>
    <row r="36" spans="1:12" ht="29.25" customHeight="1">
      <c r="A36" s="116" t="s">
        <v>517</v>
      </c>
      <c r="B36" s="64" t="s">
        <v>112</v>
      </c>
      <c r="C36" s="64" t="s">
        <v>14</v>
      </c>
      <c r="D36" s="64" t="s">
        <v>6</v>
      </c>
      <c r="E36" s="64" t="s">
        <v>518</v>
      </c>
      <c r="F36" s="64"/>
      <c r="G36" s="22"/>
      <c r="H36" s="49"/>
      <c r="I36" s="49"/>
      <c r="J36" s="49">
        <f>J37</f>
        <v>336.24</v>
      </c>
      <c r="K36" s="49">
        <f>K37</f>
        <v>0</v>
      </c>
      <c r="L36" s="49">
        <f>L37</f>
        <v>336.24</v>
      </c>
    </row>
    <row r="37" spans="1:12" ht="18" customHeight="1">
      <c r="A37" s="127" t="s">
        <v>163</v>
      </c>
      <c r="B37" s="64" t="s">
        <v>112</v>
      </c>
      <c r="C37" s="64" t="s">
        <v>14</v>
      </c>
      <c r="D37" s="64" t="s">
        <v>6</v>
      </c>
      <c r="E37" s="64" t="s">
        <v>518</v>
      </c>
      <c r="F37" s="64" t="s">
        <v>147</v>
      </c>
      <c r="G37" s="22"/>
      <c r="H37" s="49"/>
      <c r="I37" s="49"/>
      <c r="J37" s="49">
        <v>336.24</v>
      </c>
      <c r="K37" s="49"/>
      <c r="L37" s="49">
        <f>J37+K37</f>
        <v>336.24</v>
      </c>
    </row>
    <row r="38" spans="1:12" ht="32.25" customHeight="1">
      <c r="A38" s="79" t="s">
        <v>382</v>
      </c>
      <c r="B38" s="64" t="s">
        <v>112</v>
      </c>
      <c r="C38" s="64" t="s">
        <v>14</v>
      </c>
      <c r="D38" s="64" t="s">
        <v>6</v>
      </c>
      <c r="E38" s="64" t="s">
        <v>383</v>
      </c>
      <c r="F38" s="64"/>
      <c r="G38" s="22"/>
      <c r="H38" s="49">
        <f>H39</f>
        <v>0</v>
      </c>
      <c r="I38" s="49">
        <f>I39</f>
        <v>0</v>
      </c>
      <c r="J38" s="49">
        <f>J39</f>
        <v>1440</v>
      </c>
      <c r="K38" s="49">
        <f>K39</f>
        <v>0</v>
      </c>
      <c r="L38" s="49">
        <f>L39</f>
        <v>1440</v>
      </c>
    </row>
    <row r="39" spans="1:12" ht="15.75" customHeight="1">
      <c r="A39" s="127" t="s">
        <v>163</v>
      </c>
      <c r="B39" s="64" t="s">
        <v>112</v>
      </c>
      <c r="C39" s="64" t="s">
        <v>14</v>
      </c>
      <c r="D39" s="64" t="s">
        <v>6</v>
      </c>
      <c r="E39" s="64" t="s">
        <v>383</v>
      </c>
      <c r="F39" s="64" t="s">
        <v>134</v>
      </c>
      <c r="G39" s="22">
        <f>-112.8-880.2</f>
        <v>-993</v>
      </c>
      <c r="H39" s="49"/>
      <c r="I39" s="49"/>
      <c r="J39" s="49">
        <v>1440</v>
      </c>
      <c r="K39" s="49"/>
      <c r="L39" s="49">
        <f>J39+K39</f>
        <v>1440</v>
      </c>
    </row>
    <row r="40" spans="1:12" ht="15" customHeight="1">
      <c r="A40" s="79" t="s">
        <v>312</v>
      </c>
      <c r="B40" s="64" t="s">
        <v>112</v>
      </c>
      <c r="C40" s="64" t="s">
        <v>14</v>
      </c>
      <c r="D40" s="64" t="s">
        <v>6</v>
      </c>
      <c r="E40" s="64" t="s">
        <v>252</v>
      </c>
      <c r="F40" s="64"/>
      <c r="G40" s="22"/>
      <c r="H40" s="49">
        <f aca="true" t="shared" si="2" ref="H40:L41">H41</f>
        <v>0</v>
      </c>
      <c r="I40" s="49">
        <f t="shared" si="2"/>
        <v>0</v>
      </c>
      <c r="J40" s="49">
        <f t="shared" si="2"/>
        <v>1440</v>
      </c>
      <c r="K40" s="49">
        <f t="shared" si="2"/>
        <v>20.1</v>
      </c>
      <c r="L40" s="49">
        <f t="shared" si="2"/>
        <v>1460.1</v>
      </c>
    </row>
    <row r="41" spans="1:12" ht="29.25" customHeight="1">
      <c r="A41" s="80" t="s">
        <v>278</v>
      </c>
      <c r="B41" s="64" t="s">
        <v>112</v>
      </c>
      <c r="C41" s="64" t="s">
        <v>14</v>
      </c>
      <c r="D41" s="64" t="s">
        <v>6</v>
      </c>
      <c r="E41" s="64" t="s">
        <v>279</v>
      </c>
      <c r="F41" s="64"/>
      <c r="G41" s="22"/>
      <c r="H41" s="49">
        <f t="shared" si="2"/>
        <v>0</v>
      </c>
      <c r="I41" s="49">
        <f t="shared" si="2"/>
        <v>0</v>
      </c>
      <c r="J41" s="49">
        <f t="shared" si="2"/>
        <v>1440</v>
      </c>
      <c r="K41" s="49">
        <f t="shared" si="2"/>
        <v>20.1</v>
      </c>
      <c r="L41" s="49">
        <f t="shared" si="2"/>
        <v>1460.1</v>
      </c>
    </row>
    <row r="42" spans="1:15" ht="15" customHeight="1">
      <c r="A42" s="127" t="s">
        <v>163</v>
      </c>
      <c r="B42" s="64" t="s">
        <v>112</v>
      </c>
      <c r="C42" s="64" t="s">
        <v>14</v>
      </c>
      <c r="D42" s="64" t="s">
        <v>6</v>
      </c>
      <c r="E42" s="64" t="s">
        <v>279</v>
      </c>
      <c r="F42" s="64" t="s">
        <v>134</v>
      </c>
      <c r="G42" s="22"/>
      <c r="H42" s="49"/>
      <c r="I42" s="49"/>
      <c r="J42" s="49">
        <v>1440</v>
      </c>
      <c r="K42" s="49">
        <f>20.1</f>
        <v>20.1</v>
      </c>
      <c r="L42" s="49">
        <f>J42+K42</f>
        <v>1460.1</v>
      </c>
      <c r="M42" s="114"/>
      <c r="N42" s="114"/>
      <c r="O42" s="114"/>
    </row>
    <row r="43" spans="1:12" ht="15">
      <c r="A43" s="76" t="s">
        <v>44</v>
      </c>
      <c r="B43" s="63" t="s">
        <v>112</v>
      </c>
      <c r="C43" s="63" t="s">
        <v>14</v>
      </c>
      <c r="D43" s="63" t="s">
        <v>7</v>
      </c>
      <c r="E43" s="63"/>
      <c r="F43" s="63"/>
      <c r="G43" s="18" t="e">
        <f>G46+G67+#REF!+#REF!+#REF!+#REF!</f>
        <v>#REF!</v>
      </c>
      <c r="H43" s="47" t="e">
        <f>H46+H67+H86+H97+H77+H84-H87</f>
        <v>#REF!</v>
      </c>
      <c r="I43" s="47" t="e">
        <f>I46+I67+I86+I97+I77+I84</f>
        <v>#REF!</v>
      </c>
      <c r="J43" s="47">
        <f>J46+J67+J86+J97+J77+J84+J44</f>
        <v>217285.7389</v>
      </c>
      <c r="K43" s="47">
        <f>K46+K67+K86+K97+K77+K84+K44</f>
        <v>10460.23415</v>
      </c>
      <c r="L43" s="47">
        <f>L46+L67+L86+L97+L77+L84+L44</f>
        <v>227745.97305</v>
      </c>
    </row>
    <row r="44" spans="1:12" ht="34.5">
      <c r="A44" s="77" t="s">
        <v>528</v>
      </c>
      <c r="B44" s="64" t="s">
        <v>112</v>
      </c>
      <c r="C44" s="64" t="s">
        <v>14</v>
      </c>
      <c r="D44" s="64" t="s">
        <v>7</v>
      </c>
      <c r="E44" s="64" t="s">
        <v>526</v>
      </c>
      <c r="F44" s="64"/>
      <c r="G44" s="21"/>
      <c r="H44" s="49"/>
      <c r="I44" s="49"/>
      <c r="J44" s="49">
        <f>J45</f>
        <v>0</v>
      </c>
      <c r="K44" s="49">
        <f>K45</f>
        <v>450</v>
      </c>
      <c r="L44" s="49">
        <f>L45</f>
        <v>450</v>
      </c>
    </row>
    <row r="45" spans="1:12" ht="15">
      <c r="A45" s="127" t="s">
        <v>163</v>
      </c>
      <c r="B45" s="64" t="s">
        <v>112</v>
      </c>
      <c r="C45" s="64" t="s">
        <v>14</v>
      </c>
      <c r="D45" s="64" t="s">
        <v>7</v>
      </c>
      <c r="E45" s="64" t="s">
        <v>526</v>
      </c>
      <c r="F45" s="64" t="s">
        <v>134</v>
      </c>
      <c r="G45" s="21"/>
      <c r="H45" s="49"/>
      <c r="I45" s="49"/>
      <c r="J45" s="49"/>
      <c r="K45" s="49">
        <f>450</f>
        <v>450</v>
      </c>
      <c r="L45" s="49">
        <f>J45+K45</f>
        <v>450</v>
      </c>
    </row>
    <row r="46" spans="1:12" ht="23.25">
      <c r="A46" s="77" t="s">
        <v>122</v>
      </c>
      <c r="B46" s="64" t="s">
        <v>112</v>
      </c>
      <c r="C46" s="64" t="s">
        <v>14</v>
      </c>
      <c r="D46" s="64" t="s">
        <v>7</v>
      </c>
      <c r="E46" s="64" t="s">
        <v>123</v>
      </c>
      <c r="F46" s="64"/>
      <c r="G46" s="21">
        <f>G49</f>
        <v>867.76</v>
      </c>
      <c r="H46" s="49">
        <f>H47+H49+H55+H58+H60+H62+H63+H64</f>
        <v>170660.06</v>
      </c>
      <c r="I46" s="49">
        <f>I47+I49+I55+I58+I60+I62+I63+I64</f>
        <v>7623.319999999999</v>
      </c>
      <c r="J46" s="49">
        <f>J47+J49+J55+J58+J60+J62+J63+J64</f>
        <v>193752.827</v>
      </c>
      <c r="K46" s="49">
        <f>K47+K49+K55+K58+K60+K62+K63+K64</f>
        <v>5340</v>
      </c>
      <c r="L46" s="49">
        <f>L47+L49+L55+L58+L60+L62+L63+L64</f>
        <v>199092.827</v>
      </c>
    </row>
    <row r="47" spans="1:12" ht="67.5">
      <c r="A47" s="128" t="s">
        <v>355</v>
      </c>
      <c r="B47" s="65" t="s">
        <v>112</v>
      </c>
      <c r="C47" s="65" t="s">
        <v>14</v>
      </c>
      <c r="D47" s="65" t="s">
        <v>7</v>
      </c>
      <c r="E47" s="69" t="s">
        <v>130</v>
      </c>
      <c r="F47" s="64"/>
      <c r="G47" s="21"/>
      <c r="H47" s="49">
        <f>H48</f>
        <v>136352</v>
      </c>
      <c r="I47" s="49">
        <f>I48</f>
        <v>2035</v>
      </c>
      <c r="J47" s="49">
        <f>J48</f>
        <v>163796</v>
      </c>
      <c r="K47" s="49">
        <f>K48</f>
        <v>4340</v>
      </c>
      <c r="L47" s="49">
        <f>L48</f>
        <v>168136</v>
      </c>
    </row>
    <row r="48" spans="1:12" ht="45">
      <c r="A48" s="79" t="s">
        <v>502</v>
      </c>
      <c r="B48" s="64" t="s">
        <v>112</v>
      </c>
      <c r="C48" s="64" t="s">
        <v>14</v>
      </c>
      <c r="D48" s="64" t="s">
        <v>7</v>
      </c>
      <c r="E48" s="64" t="s">
        <v>130</v>
      </c>
      <c r="F48" s="64" t="s">
        <v>126</v>
      </c>
      <c r="G48" s="22"/>
      <c r="H48" s="49">
        <v>136352</v>
      </c>
      <c r="I48" s="49">
        <v>2035</v>
      </c>
      <c r="J48" s="49">
        <v>163796</v>
      </c>
      <c r="K48" s="49">
        <f>2555+1785</f>
        <v>4340</v>
      </c>
      <c r="L48" s="49">
        <f>J48+K48</f>
        <v>168136</v>
      </c>
    </row>
    <row r="49" spans="1:12" ht="23.25">
      <c r="A49" s="77" t="s">
        <v>98</v>
      </c>
      <c r="B49" s="64" t="s">
        <v>112</v>
      </c>
      <c r="C49" s="64" t="s">
        <v>14</v>
      </c>
      <c r="D49" s="64" t="s">
        <v>7</v>
      </c>
      <c r="E49" s="64" t="s">
        <v>124</v>
      </c>
      <c r="F49" s="64"/>
      <c r="G49" s="22">
        <f>G50+G56</f>
        <v>867.76</v>
      </c>
      <c r="H49" s="49">
        <f>H50+H53+H54+H51+H52</f>
        <v>30536.26</v>
      </c>
      <c r="I49" s="49">
        <f>I50+I53+I54+I51+I52</f>
        <v>9360.119999999999</v>
      </c>
      <c r="J49" s="49">
        <f>J50+J53+J54+J51+J52</f>
        <v>29956.826999999997</v>
      </c>
      <c r="K49" s="49">
        <f>K50+K53+K54+K51+K52</f>
        <v>1000</v>
      </c>
      <c r="L49" s="49">
        <f>L50+L53+L54+L51+L52</f>
        <v>30956.826999999997</v>
      </c>
    </row>
    <row r="50" spans="1:12" ht="31.5" customHeight="1" hidden="1">
      <c r="A50" s="79" t="s">
        <v>153</v>
      </c>
      <c r="B50" s="64" t="s">
        <v>112</v>
      </c>
      <c r="C50" s="64" t="s">
        <v>14</v>
      </c>
      <c r="D50" s="64" t="s">
        <v>7</v>
      </c>
      <c r="E50" s="64" t="s">
        <v>124</v>
      </c>
      <c r="F50" s="64" t="s">
        <v>154</v>
      </c>
      <c r="G50" s="22">
        <f>36.76+38-200</f>
        <v>-125.24000000000001</v>
      </c>
      <c r="H50" s="49"/>
      <c r="I50" s="49"/>
      <c r="J50" s="49">
        <f>H50+I50</f>
        <v>0</v>
      </c>
      <c r="K50" s="49"/>
      <c r="L50" s="49">
        <f>J50+K50</f>
        <v>0</v>
      </c>
    </row>
    <row r="51" spans="1:12" ht="31.5" customHeight="1" hidden="1">
      <c r="A51" s="79" t="s">
        <v>156</v>
      </c>
      <c r="B51" s="64" t="s">
        <v>112</v>
      </c>
      <c r="C51" s="64" t="s">
        <v>14</v>
      </c>
      <c r="D51" s="64" t="s">
        <v>7</v>
      </c>
      <c r="E51" s="64" t="s">
        <v>124</v>
      </c>
      <c r="F51" s="64" t="s">
        <v>157</v>
      </c>
      <c r="G51" s="22"/>
      <c r="H51" s="49"/>
      <c r="I51" s="49"/>
      <c r="J51" s="49">
        <f>H51+I51</f>
        <v>0</v>
      </c>
      <c r="K51" s="49"/>
      <c r="L51" s="49">
        <f>J51+K51</f>
        <v>0</v>
      </c>
    </row>
    <row r="52" spans="1:12" ht="31.5" customHeight="1" hidden="1">
      <c r="A52" s="79" t="s">
        <v>145</v>
      </c>
      <c r="B52" s="64" t="s">
        <v>112</v>
      </c>
      <c r="C52" s="64" t="s">
        <v>14</v>
      </c>
      <c r="D52" s="64" t="s">
        <v>7</v>
      </c>
      <c r="E52" s="64" t="s">
        <v>124</v>
      </c>
      <c r="F52" s="64" t="s">
        <v>147</v>
      </c>
      <c r="G52" s="22"/>
      <c r="H52" s="49"/>
      <c r="I52" s="49"/>
      <c r="J52" s="49">
        <f>H52+I52</f>
        <v>0</v>
      </c>
      <c r="K52" s="49"/>
      <c r="L52" s="49">
        <f>J52+K52</f>
        <v>0</v>
      </c>
    </row>
    <row r="53" spans="1:12" ht="45">
      <c r="A53" s="79" t="s">
        <v>502</v>
      </c>
      <c r="B53" s="64" t="s">
        <v>112</v>
      </c>
      <c r="C53" s="64" t="s">
        <v>14</v>
      </c>
      <c r="D53" s="64" t="s">
        <v>7</v>
      </c>
      <c r="E53" s="64" t="s">
        <v>124</v>
      </c>
      <c r="F53" s="64" t="s">
        <v>126</v>
      </c>
      <c r="G53" s="22"/>
      <c r="H53" s="49">
        <v>30536.26</v>
      </c>
      <c r="I53" s="49">
        <v>-1004.68</v>
      </c>
      <c r="J53" s="49">
        <v>23346.373</v>
      </c>
      <c r="K53" s="49">
        <f>2000-1000</f>
        <v>1000</v>
      </c>
      <c r="L53" s="49">
        <f>J53+K53</f>
        <v>24346.373</v>
      </c>
    </row>
    <row r="54" spans="1:12" ht="15">
      <c r="A54" s="79" t="s">
        <v>362</v>
      </c>
      <c r="B54" s="64" t="s">
        <v>112</v>
      </c>
      <c r="C54" s="64" t="s">
        <v>14</v>
      </c>
      <c r="D54" s="64" t="s">
        <v>7</v>
      </c>
      <c r="E54" s="64" t="s">
        <v>124</v>
      </c>
      <c r="F54" s="64" t="s">
        <v>134</v>
      </c>
      <c r="G54" s="22"/>
      <c r="H54" s="49"/>
      <c r="I54" s="49">
        <f>474.8+5000+4520+370</f>
        <v>10364.8</v>
      </c>
      <c r="J54" s="49">
        <v>6610.454</v>
      </c>
      <c r="K54" s="49"/>
      <c r="L54" s="49">
        <f>J54+K54</f>
        <v>6610.454</v>
      </c>
    </row>
    <row r="55" spans="1:12" ht="34.5" hidden="1">
      <c r="A55" s="77" t="s">
        <v>99</v>
      </c>
      <c r="B55" s="64" t="s">
        <v>112</v>
      </c>
      <c r="C55" s="64" t="s">
        <v>14</v>
      </c>
      <c r="D55" s="64" t="s">
        <v>7</v>
      </c>
      <c r="E55" s="64" t="s">
        <v>127</v>
      </c>
      <c r="F55" s="64"/>
      <c r="G55" s="22"/>
      <c r="H55" s="49">
        <f>H56+H57</f>
        <v>3771.8</v>
      </c>
      <c r="I55" s="49">
        <f>I56+I57</f>
        <v>-3771.8</v>
      </c>
      <c r="J55" s="49">
        <f>J56+J57</f>
        <v>0</v>
      </c>
      <c r="K55" s="49">
        <f>K56+K57</f>
        <v>0</v>
      </c>
      <c r="L55" s="49">
        <f>L56+L57</f>
        <v>0</v>
      </c>
    </row>
    <row r="56" spans="1:12" ht="15" customHeight="1" hidden="1">
      <c r="A56" s="77" t="s">
        <v>100</v>
      </c>
      <c r="B56" s="64" t="s">
        <v>112</v>
      </c>
      <c r="C56" s="64" t="s">
        <v>14</v>
      </c>
      <c r="D56" s="64" t="s">
        <v>7</v>
      </c>
      <c r="E56" s="64" t="s">
        <v>127</v>
      </c>
      <c r="F56" s="64" t="s">
        <v>97</v>
      </c>
      <c r="G56" s="22">
        <f>112.8+880.2</f>
        <v>993</v>
      </c>
      <c r="H56" s="49"/>
      <c r="I56" s="49"/>
      <c r="J56" s="49">
        <f>H56+I56</f>
        <v>0</v>
      </c>
      <c r="K56" s="49"/>
      <c r="L56" s="49">
        <f>J56+K56</f>
        <v>0</v>
      </c>
    </row>
    <row r="57" spans="1:12" ht="45" hidden="1">
      <c r="A57" s="79" t="s">
        <v>125</v>
      </c>
      <c r="B57" s="64" t="s">
        <v>112</v>
      </c>
      <c r="C57" s="64" t="s">
        <v>14</v>
      </c>
      <c r="D57" s="64" t="s">
        <v>7</v>
      </c>
      <c r="E57" s="64" t="s">
        <v>127</v>
      </c>
      <c r="F57" s="64" t="s">
        <v>126</v>
      </c>
      <c r="G57" s="22"/>
      <c r="H57" s="49">
        <v>3771.8</v>
      </c>
      <c r="I57" s="49">
        <v>-3771.8</v>
      </c>
      <c r="J57" s="49">
        <f>SUM(H57:I57)</f>
        <v>0</v>
      </c>
      <c r="K57" s="49"/>
      <c r="L57" s="49">
        <f>J57+K57</f>
        <v>0</v>
      </c>
    </row>
    <row r="58" spans="1:12" ht="21" customHeight="1" hidden="1">
      <c r="A58" s="79" t="s">
        <v>358</v>
      </c>
      <c r="B58" s="64" t="s">
        <v>112</v>
      </c>
      <c r="C58" s="64" t="s">
        <v>14</v>
      </c>
      <c r="D58" s="64" t="s">
        <v>7</v>
      </c>
      <c r="E58" s="64" t="s">
        <v>133</v>
      </c>
      <c r="F58" s="64"/>
      <c r="G58" s="22"/>
      <c r="H58" s="49">
        <f>H59</f>
        <v>0</v>
      </c>
      <c r="I58" s="49">
        <f>I59</f>
        <v>0</v>
      </c>
      <c r="J58" s="49">
        <f>J59</f>
        <v>0</v>
      </c>
      <c r="K58" s="49">
        <f>K59</f>
        <v>0</v>
      </c>
      <c r="L58" s="49">
        <f>L59</f>
        <v>0</v>
      </c>
    </row>
    <row r="59" spans="1:12" ht="15" customHeight="1" hidden="1">
      <c r="A59" s="127" t="s">
        <v>163</v>
      </c>
      <c r="B59" s="64" t="s">
        <v>112</v>
      </c>
      <c r="C59" s="64" t="s">
        <v>14</v>
      </c>
      <c r="D59" s="64" t="s">
        <v>7</v>
      </c>
      <c r="E59" s="64" t="s">
        <v>133</v>
      </c>
      <c r="F59" s="64" t="s">
        <v>134</v>
      </c>
      <c r="G59" s="22"/>
      <c r="H59" s="49">
        <v>0</v>
      </c>
      <c r="I59" s="49"/>
      <c r="J59" s="49">
        <f>H59+I59</f>
        <v>0</v>
      </c>
      <c r="K59" s="49"/>
      <c r="L59" s="49">
        <f>J59+K59</f>
        <v>0</v>
      </c>
    </row>
    <row r="60" spans="1:12" ht="21.75" customHeight="1" hidden="1">
      <c r="A60" s="77" t="s">
        <v>357</v>
      </c>
      <c r="B60" s="64" t="s">
        <v>112</v>
      </c>
      <c r="C60" s="64" t="s">
        <v>14</v>
      </c>
      <c r="D60" s="64" t="s">
        <v>7</v>
      </c>
      <c r="E60" s="64" t="s">
        <v>135</v>
      </c>
      <c r="F60" s="64"/>
      <c r="G60" s="22"/>
      <c r="H60" s="49">
        <f>H61</f>
        <v>0</v>
      </c>
      <c r="I60" s="49">
        <f>I61</f>
        <v>0</v>
      </c>
      <c r="J60" s="49">
        <f>J61</f>
        <v>0</v>
      </c>
      <c r="K60" s="49">
        <f>K61</f>
        <v>0</v>
      </c>
      <c r="L60" s="49">
        <f>L61</f>
        <v>0</v>
      </c>
    </row>
    <row r="61" spans="1:12" ht="15" customHeight="1" hidden="1">
      <c r="A61" s="127" t="s">
        <v>163</v>
      </c>
      <c r="B61" s="64" t="s">
        <v>112</v>
      </c>
      <c r="C61" s="64" t="s">
        <v>14</v>
      </c>
      <c r="D61" s="64" t="s">
        <v>7</v>
      </c>
      <c r="E61" s="64" t="s">
        <v>135</v>
      </c>
      <c r="F61" s="64" t="s">
        <v>134</v>
      </c>
      <c r="G61" s="22"/>
      <c r="H61" s="49">
        <v>0</v>
      </c>
      <c r="I61" s="49"/>
      <c r="J61" s="49">
        <f>H61+I61</f>
        <v>0</v>
      </c>
      <c r="K61" s="49"/>
      <c r="L61" s="49">
        <f>J61+K61</f>
        <v>0</v>
      </c>
    </row>
    <row r="62" spans="1:12" ht="42" customHeight="1" hidden="1">
      <c r="A62" s="81" t="s">
        <v>128</v>
      </c>
      <c r="B62" s="64" t="s">
        <v>112</v>
      </c>
      <c r="C62" s="64" t="s">
        <v>14</v>
      </c>
      <c r="D62" s="64" t="s">
        <v>7</v>
      </c>
      <c r="E62" s="64" t="s">
        <v>129</v>
      </c>
      <c r="F62" s="64" t="s">
        <v>97</v>
      </c>
      <c r="G62" s="22"/>
      <c r="H62" s="49"/>
      <c r="I62" s="49"/>
      <c r="J62" s="49">
        <f>H62+I62</f>
        <v>0</v>
      </c>
      <c r="K62" s="49"/>
      <c r="L62" s="49">
        <f>J62+K62</f>
        <v>0</v>
      </c>
    </row>
    <row r="63" spans="1:12" ht="32.25" customHeight="1" hidden="1">
      <c r="A63" s="77" t="s">
        <v>131</v>
      </c>
      <c r="B63" s="64" t="s">
        <v>112</v>
      </c>
      <c r="C63" s="64" t="s">
        <v>14</v>
      </c>
      <c r="D63" s="64" t="s">
        <v>7</v>
      </c>
      <c r="E63" s="64" t="s">
        <v>132</v>
      </c>
      <c r="F63" s="64" t="s">
        <v>97</v>
      </c>
      <c r="G63" s="22"/>
      <c r="H63" s="49"/>
      <c r="I63" s="49"/>
      <c r="J63" s="49">
        <f>H63+I63</f>
        <v>0</v>
      </c>
      <c r="K63" s="49"/>
      <c r="L63" s="49">
        <f>J63+K63</f>
        <v>0</v>
      </c>
    </row>
    <row r="64" spans="1:12" ht="21.75" customHeight="1" hidden="1">
      <c r="A64" s="77" t="s">
        <v>136</v>
      </c>
      <c r="B64" s="64" t="s">
        <v>112</v>
      </c>
      <c r="C64" s="64" t="s">
        <v>14</v>
      </c>
      <c r="D64" s="64" t="s">
        <v>7</v>
      </c>
      <c r="E64" s="64" t="s">
        <v>137</v>
      </c>
      <c r="F64" s="64"/>
      <c r="G64" s="22"/>
      <c r="H64" s="49">
        <f>H65+H66</f>
        <v>0</v>
      </c>
      <c r="I64" s="49">
        <f>I65+I66</f>
        <v>0</v>
      </c>
      <c r="J64" s="49">
        <f>J65+J66</f>
        <v>0</v>
      </c>
      <c r="K64" s="49">
        <f>K65+K66</f>
        <v>0</v>
      </c>
      <c r="L64" s="49">
        <f>L65+L66</f>
        <v>0</v>
      </c>
    </row>
    <row r="65" spans="1:12" ht="21.75" customHeight="1" hidden="1">
      <c r="A65" s="77" t="s">
        <v>136</v>
      </c>
      <c r="B65" s="64" t="s">
        <v>112</v>
      </c>
      <c r="C65" s="64" t="s">
        <v>14</v>
      </c>
      <c r="D65" s="64" t="s">
        <v>7</v>
      </c>
      <c r="E65" s="64" t="s">
        <v>137</v>
      </c>
      <c r="F65" s="64" t="s">
        <v>97</v>
      </c>
      <c r="G65" s="22"/>
      <c r="H65" s="49"/>
      <c r="I65" s="49"/>
      <c r="J65" s="49">
        <f>H65+I65</f>
        <v>0</v>
      </c>
      <c r="K65" s="49"/>
      <c r="L65" s="49">
        <f>J65+K65</f>
        <v>0</v>
      </c>
    </row>
    <row r="66" spans="1:12" ht="31.5" customHeight="1" hidden="1">
      <c r="A66" s="79" t="s">
        <v>125</v>
      </c>
      <c r="B66" s="64" t="s">
        <v>112</v>
      </c>
      <c r="C66" s="64" t="s">
        <v>14</v>
      </c>
      <c r="D66" s="64" t="s">
        <v>7</v>
      </c>
      <c r="E66" s="64" t="s">
        <v>137</v>
      </c>
      <c r="F66" s="64" t="s">
        <v>126</v>
      </c>
      <c r="G66" s="22"/>
      <c r="H66" s="49"/>
      <c r="I66" s="49"/>
      <c r="J66" s="49">
        <f>SUM(H66:I66)</f>
        <v>0</v>
      </c>
      <c r="K66" s="49"/>
      <c r="L66" s="49">
        <f>SUM(J66:K66)</f>
        <v>0</v>
      </c>
    </row>
    <row r="67" spans="1:12" ht="15">
      <c r="A67" s="77" t="s">
        <v>138</v>
      </c>
      <c r="B67" s="64" t="s">
        <v>112</v>
      </c>
      <c r="C67" s="64" t="s">
        <v>14</v>
      </c>
      <c r="D67" s="64" t="s">
        <v>7</v>
      </c>
      <c r="E67" s="64" t="s">
        <v>139</v>
      </c>
      <c r="F67" s="64"/>
      <c r="G67" s="22" t="e">
        <f aca="true" t="shared" si="3" ref="G67:L67">G68</f>
        <v>#REF!</v>
      </c>
      <c r="H67" s="49" t="e">
        <f t="shared" si="3"/>
        <v>#REF!</v>
      </c>
      <c r="I67" s="49" t="e">
        <f t="shared" si="3"/>
        <v>#REF!</v>
      </c>
      <c r="J67" s="49">
        <f t="shared" si="3"/>
        <v>4256.6900000000005</v>
      </c>
      <c r="K67" s="49">
        <f t="shared" si="3"/>
        <v>0</v>
      </c>
      <c r="L67" s="49">
        <f t="shared" si="3"/>
        <v>4256.6900000000005</v>
      </c>
    </row>
    <row r="68" spans="1:12" ht="23.25">
      <c r="A68" s="77" t="s">
        <v>98</v>
      </c>
      <c r="B68" s="64" t="s">
        <v>112</v>
      </c>
      <c r="C68" s="64" t="s">
        <v>14</v>
      </c>
      <c r="D68" s="64" t="s">
        <v>7</v>
      </c>
      <c r="E68" s="64" t="s">
        <v>140</v>
      </c>
      <c r="F68" s="64"/>
      <c r="G68" s="22" t="e">
        <f>G69+#REF!</f>
        <v>#REF!</v>
      </c>
      <c r="H68" s="49" t="e">
        <f>H75+#REF!</f>
        <v>#REF!</v>
      </c>
      <c r="I68" s="49" t="e">
        <f>I75+#REF!</f>
        <v>#REF!</v>
      </c>
      <c r="J68" s="49">
        <f>J75+J76</f>
        <v>4256.6900000000005</v>
      </c>
      <c r="K68" s="49">
        <f>K75+K76</f>
        <v>0</v>
      </c>
      <c r="L68" s="49">
        <f>L75+L76</f>
        <v>4256.6900000000005</v>
      </c>
    </row>
    <row r="69" spans="1:12" ht="21.75" customHeight="1" hidden="1">
      <c r="A69" s="82" t="s">
        <v>150</v>
      </c>
      <c r="B69" s="64" t="s">
        <v>112</v>
      </c>
      <c r="C69" s="64" t="s">
        <v>14</v>
      </c>
      <c r="D69" s="64" t="s">
        <v>7</v>
      </c>
      <c r="E69" s="64" t="s">
        <v>140</v>
      </c>
      <c r="F69" s="64" t="s">
        <v>151</v>
      </c>
      <c r="G69" s="22">
        <v>165.6</v>
      </c>
      <c r="H69" s="49"/>
      <c r="I69" s="49"/>
      <c r="J69" s="49">
        <f aca="true" t="shared" si="4" ref="J69:L74">H69+I69</f>
        <v>0</v>
      </c>
      <c r="K69" s="49"/>
      <c r="L69" s="49">
        <f t="shared" si="4"/>
        <v>0</v>
      </c>
    </row>
    <row r="70" spans="1:12" ht="31.5" customHeight="1" hidden="1">
      <c r="A70" s="79" t="s">
        <v>153</v>
      </c>
      <c r="B70" s="64" t="s">
        <v>112</v>
      </c>
      <c r="C70" s="64" t="s">
        <v>14</v>
      </c>
      <c r="D70" s="64" t="s">
        <v>7</v>
      </c>
      <c r="E70" s="64" t="s">
        <v>140</v>
      </c>
      <c r="F70" s="64" t="s">
        <v>154</v>
      </c>
      <c r="G70" s="22"/>
      <c r="H70" s="49"/>
      <c r="I70" s="49"/>
      <c r="J70" s="49">
        <f t="shared" si="4"/>
        <v>0</v>
      </c>
      <c r="K70" s="49"/>
      <c r="L70" s="49">
        <f t="shared" si="4"/>
        <v>0</v>
      </c>
    </row>
    <row r="71" spans="1:12" ht="31.5" customHeight="1" hidden="1">
      <c r="A71" s="79" t="s">
        <v>156</v>
      </c>
      <c r="B71" s="64" t="s">
        <v>112</v>
      </c>
      <c r="C71" s="64" t="s">
        <v>14</v>
      </c>
      <c r="D71" s="64" t="s">
        <v>7</v>
      </c>
      <c r="E71" s="64" t="s">
        <v>140</v>
      </c>
      <c r="F71" s="64" t="s">
        <v>157</v>
      </c>
      <c r="G71" s="22"/>
      <c r="H71" s="49"/>
      <c r="I71" s="49"/>
      <c r="J71" s="49">
        <f t="shared" si="4"/>
        <v>0</v>
      </c>
      <c r="K71" s="49"/>
      <c r="L71" s="49">
        <f t="shared" si="4"/>
        <v>0</v>
      </c>
    </row>
    <row r="72" spans="1:12" ht="31.5" customHeight="1" hidden="1">
      <c r="A72" s="79" t="s">
        <v>145</v>
      </c>
      <c r="B72" s="64" t="s">
        <v>112</v>
      </c>
      <c r="C72" s="64" t="s">
        <v>14</v>
      </c>
      <c r="D72" s="64" t="s">
        <v>7</v>
      </c>
      <c r="E72" s="64" t="s">
        <v>140</v>
      </c>
      <c r="F72" s="64" t="s">
        <v>147</v>
      </c>
      <c r="G72" s="22"/>
      <c r="H72" s="49"/>
      <c r="I72" s="49"/>
      <c r="J72" s="49">
        <f t="shared" si="4"/>
        <v>0</v>
      </c>
      <c r="K72" s="49"/>
      <c r="L72" s="49">
        <f t="shared" si="4"/>
        <v>0</v>
      </c>
    </row>
    <row r="73" spans="1:12" ht="31.5" customHeight="1" hidden="1">
      <c r="A73" s="79" t="s">
        <v>158</v>
      </c>
      <c r="B73" s="64" t="s">
        <v>112</v>
      </c>
      <c r="C73" s="64" t="s">
        <v>14</v>
      </c>
      <c r="D73" s="64" t="s">
        <v>7</v>
      </c>
      <c r="E73" s="64" t="s">
        <v>140</v>
      </c>
      <c r="F73" s="64" t="s">
        <v>159</v>
      </c>
      <c r="G73" s="22"/>
      <c r="H73" s="49"/>
      <c r="I73" s="49"/>
      <c r="J73" s="49">
        <f t="shared" si="4"/>
        <v>0</v>
      </c>
      <c r="K73" s="49"/>
      <c r="L73" s="49">
        <f t="shared" si="4"/>
        <v>0</v>
      </c>
    </row>
    <row r="74" spans="1:12" ht="15" customHeight="1" hidden="1">
      <c r="A74" s="79" t="s">
        <v>160</v>
      </c>
      <c r="B74" s="64" t="s">
        <v>112</v>
      </c>
      <c r="C74" s="64" t="s">
        <v>14</v>
      </c>
      <c r="D74" s="64" t="s">
        <v>7</v>
      </c>
      <c r="E74" s="64" t="s">
        <v>140</v>
      </c>
      <c r="F74" s="64" t="s">
        <v>161</v>
      </c>
      <c r="G74" s="22"/>
      <c r="H74" s="49"/>
      <c r="I74" s="49"/>
      <c r="J74" s="49">
        <f t="shared" si="4"/>
        <v>0</v>
      </c>
      <c r="K74" s="49"/>
      <c r="L74" s="49">
        <f t="shared" si="4"/>
        <v>0</v>
      </c>
    </row>
    <row r="75" spans="1:12" ht="36" customHeight="1">
      <c r="A75" s="79" t="s">
        <v>502</v>
      </c>
      <c r="B75" s="64" t="s">
        <v>112</v>
      </c>
      <c r="C75" s="64" t="s">
        <v>14</v>
      </c>
      <c r="D75" s="64" t="s">
        <v>7</v>
      </c>
      <c r="E75" s="64" t="s">
        <v>140</v>
      </c>
      <c r="F75" s="64" t="s">
        <v>126</v>
      </c>
      <c r="G75" s="22"/>
      <c r="H75" s="49">
        <v>7817.31</v>
      </c>
      <c r="I75" s="49">
        <v>-3810.62</v>
      </c>
      <c r="J75" s="49">
        <f>SUM(H75:I75)</f>
        <v>4006.6900000000005</v>
      </c>
      <c r="K75" s="49">
        <f>-100+100</f>
        <v>0</v>
      </c>
      <c r="L75" s="49">
        <f>J75+K75</f>
        <v>4006.6900000000005</v>
      </c>
    </row>
    <row r="76" spans="1:12" ht="15" customHeight="1">
      <c r="A76" s="79" t="s">
        <v>362</v>
      </c>
      <c r="B76" s="64" t="s">
        <v>112</v>
      </c>
      <c r="C76" s="64" t="s">
        <v>14</v>
      </c>
      <c r="D76" s="64" t="s">
        <v>7</v>
      </c>
      <c r="E76" s="64" t="s">
        <v>140</v>
      </c>
      <c r="F76" s="64" t="s">
        <v>134</v>
      </c>
      <c r="G76" s="22"/>
      <c r="H76" s="49"/>
      <c r="I76" s="49">
        <v>50</v>
      </c>
      <c r="J76" s="49">
        <v>250</v>
      </c>
      <c r="K76" s="49"/>
      <c r="L76" s="49">
        <f>J76+K76</f>
        <v>250</v>
      </c>
    </row>
    <row r="77" spans="1:12" ht="27.75" customHeight="1">
      <c r="A77" s="79" t="s">
        <v>400</v>
      </c>
      <c r="B77" s="64" t="s">
        <v>112</v>
      </c>
      <c r="C77" s="64" t="s">
        <v>14</v>
      </c>
      <c r="D77" s="64" t="s">
        <v>7</v>
      </c>
      <c r="E77" s="64" t="s">
        <v>402</v>
      </c>
      <c r="F77" s="64"/>
      <c r="G77" s="22"/>
      <c r="H77" s="49">
        <f>H78+H80+H82</f>
        <v>0</v>
      </c>
      <c r="I77" s="49">
        <f>I78+I80+I82</f>
        <v>0</v>
      </c>
      <c r="J77" s="49">
        <f>J78+J80+J82</f>
        <v>3092</v>
      </c>
      <c r="K77" s="49">
        <f>K78+K80+K82</f>
        <v>2745.334</v>
      </c>
      <c r="L77" s="49">
        <f>L78+L80+L82</f>
        <v>5837.334</v>
      </c>
    </row>
    <row r="78" spans="1:12" ht="27.75" customHeight="1">
      <c r="A78" s="77" t="s">
        <v>497</v>
      </c>
      <c r="B78" s="64" t="s">
        <v>112</v>
      </c>
      <c r="C78" s="64" t="s">
        <v>14</v>
      </c>
      <c r="D78" s="64" t="s">
        <v>7</v>
      </c>
      <c r="E78" s="64" t="s">
        <v>401</v>
      </c>
      <c r="F78" s="64"/>
      <c r="G78" s="22"/>
      <c r="H78" s="49">
        <f>H79</f>
        <v>0</v>
      </c>
      <c r="I78" s="49">
        <f>I79</f>
        <v>0</v>
      </c>
      <c r="J78" s="49">
        <f>J79</f>
        <v>3092</v>
      </c>
      <c r="K78" s="49">
        <f>K79</f>
        <v>2745.334</v>
      </c>
      <c r="L78" s="49">
        <f>L79</f>
        <v>5837.334</v>
      </c>
    </row>
    <row r="79" spans="1:12" ht="18.75" customHeight="1">
      <c r="A79" s="79" t="s">
        <v>362</v>
      </c>
      <c r="B79" s="64" t="s">
        <v>112</v>
      </c>
      <c r="C79" s="64" t="s">
        <v>14</v>
      </c>
      <c r="D79" s="64" t="s">
        <v>7</v>
      </c>
      <c r="E79" s="64" t="s">
        <v>401</v>
      </c>
      <c r="F79" s="64" t="s">
        <v>134</v>
      </c>
      <c r="G79" s="22"/>
      <c r="H79" s="49"/>
      <c r="I79" s="49"/>
      <c r="J79" s="49">
        <v>3092</v>
      </c>
      <c r="K79" s="49">
        <f>2745.334</f>
        <v>2745.334</v>
      </c>
      <c r="L79" s="49">
        <f>J79+K79</f>
        <v>5837.334</v>
      </c>
    </row>
    <row r="80" spans="1:12" ht="27.75" customHeight="1" hidden="1">
      <c r="A80" s="79" t="s">
        <v>404</v>
      </c>
      <c r="B80" s="64" t="s">
        <v>112</v>
      </c>
      <c r="C80" s="64" t="s">
        <v>14</v>
      </c>
      <c r="D80" s="64" t="s">
        <v>7</v>
      </c>
      <c r="E80" s="64" t="s">
        <v>405</v>
      </c>
      <c r="F80" s="64"/>
      <c r="G80" s="22"/>
      <c r="H80" s="49">
        <f>H81</f>
        <v>0</v>
      </c>
      <c r="I80" s="49">
        <f>I81</f>
        <v>0</v>
      </c>
      <c r="J80" s="49">
        <f>J81</f>
        <v>0</v>
      </c>
      <c r="K80" s="49">
        <f>K81</f>
        <v>0</v>
      </c>
      <c r="L80" s="49">
        <f>L81</f>
        <v>0</v>
      </c>
    </row>
    <row r="81" spans="1:12" ht="27.75" customHeight="1" hidden="1">
      <c r="A81" s="127" t="s">
        <v>163</v>
      </c>
      <c r="B81" s="64" t="s">
        <v>112</v>
      </c>
      <c r="C81" s="64" t="s">
        <v>14</v>
      </c>
      <c r="D81" s="64" t="s">
        <v>7</v>
      </c>
      <c r="E81" s="64" t="s">
        <v>405</v>
      </c>
      <c r="F81" s="64" t="s">
        <v>134</v>
      </c>
      <c r="G81" s="22"/>
      <c r="H81" s="49"/>
      <c r="I81" s="49"/>
      <c r="J81" s="49">
        <f>H81+I81</f>
        <v>0</v>
      </c>
      <c r="K81" s="49"/>
      <c r="L81" s="49">
        <f>J81+K81</f>
        <v>0</v>
      </c>
    </row>
    <row r="82" spans="1:12" ht="46.5" customHeight="1" hidden="1">
      <c r="A82" s="79" t="s">
        <v>403</v>
      </c>
      <c r="B82" s="64" t="s">
        <v>112</v>
      </c>
      <c r="C82" s="64" t="s">
        <v>14</v>
      </c>
      <c r="D82" s="64" t="s">
        <v>7</v>
      </c>
      <c r="E82" s="64" t="s">
        <v>406</v>
      </c>
      <c r="F82" s="64"/>
      <c r="G82" s="22"/>
      <c r="H82" s="49">
        <f>H83</f>
        <v>0</v>
      </c>
      <c r="I82" s="49">
        <f>I83</f>
        <v>0</v>
      </c>
      <c r="J82" s="49">
        <f>J83</f>
        <v>0</v>
      </c>
      <c r="K82" s="49">
        <f>K83</f>
        <v>0</v>
      </c>
      <c r="L82" s="49">
        <f>L83</f>
        <v>0</v>
      </c>
    </row>
    <row r="83" spans="1:12" ht="27.75" customHeight="1" hidden="1">
      <c r="A83" s="127" t="s">
        <v>163</v>
      </c>
      <c r="B83" s="64" t="s">
        <v>112</v>
      </c>
      <c r="C83" s="64" t="s">
        <v>14</v>
      </c>
      <c r="D83" s="64" t="s">
        <v>7</v>
      </c>
      <c r="E83" s="64" t="s">
        <v>406</v>
      </c>
      <c r="F83" s="64" t="s">
        <v>134</v>
      </c>
      <c r="G83" s="22"/>
      <c r="H83" s="49"/>
      <c r="I83" s="49"/>
      <c r="J83" s="49">
        <f>H83+I83</f>
        <v>0</v>
      </c>
      <c r="K83" s="49"/>
      <c r="L83" s="49">
        <f>J83+K83</f>
        <v>0</v>
      </c>
    </row>
    <row r="84" spans="1:12" ht="25.5" customHeight="1">
      <c r="A84" s="79" t="s">
        <v>407</v>
      </c>
      <c r="B84" s="64" t="s">
        <v>112</v>
      </c>
      <c r="C84" s="64" t="s">
        <v>14</v>
      </c>
      <c r="D84" s="64" t="s">
        <v>7</v>
      </c>
      <c r="E84" s="64" t="s">
        <v>408</v>
      </c>
      <c r="F84" s="64"/>
      <c r="G84" s="22"/>
      <c r="H84" s="49">
        <f>H85</f>
        <v>0</v>
      </c>
      <c r="I84" s="49">
        <f>I85</f>
        <v>0</v>
      </c>
      <c r="J84" s="49">
        <f>J85</f>
        <v>2800</v>
      </c>
      <c r="K84" s="49">
        <f>K85</f>
        <v>0</v>
      </c>
      <c r="L84" s="49">
        <f>L85</f>
        <v>2800</v>
      </c>
    </row>
    <row r="85" spans="1:12" ht="15" customHeight="1">
      <c r="A85" s="127" t="s">
        <v>163</v>
      </c>
      <c r="B85" s="64" t="s">
        <v>112</v>
      </c>
      <c r="C85" s="64" t="s">
        <v>14</v>
      </c>
      <c r="D85" s="64" t="s">
        <v>7</v>
      </c>
      <c r="E85" s="64" t="s">
        <v>408</v>
      </c>
      <c r="F85" s="64" t="s">
        <v>134</v>
      </c>
      <c r="G85" s="22"/>
      <c r="H85" s="49"/>
      <c r="I85" s="49"/>
      <c r="J85" s="49">
        <v>2800</v>
      </c>
      <c r="K85" s="49"/>
      <c r="L85" s="49">
        <f>J85+K85</f>
        <v>2800</v>
      </c>
    </row>
    <row r="86" spans="1:12" ht="20.25" customHeight="1">
      <c r="A86" s="79" t="s">
        <v>363</v>
      </c>
      <c r="B86" s="64" t="s">
        <v>112</v>
      </c>
      <c r="C86" s="64" t="s">
        <v>14</v>
      </c>
      <c r="D86" s="64" t="s">
        <v>7</v>
      </c>
      <c r="E86" s="64" t="s">
        <v>318</v>
      </c>
      <c r="F86" s="64"/>
      <c r="G86" s="22"/>
      <c r="H86" s="49">
        <f>H87+H89+H93</f>
        <v>2101.1</v>
      </c>
      <c r="I86" s="49">
        <f>I87+I89+I93</f>
        <v>516.9</v>
      </c>
      <c r="J86" s="49">
        <f>J87+J89+J93+J91+J95</f>
        <v>7455.0419</v>
      </c>
      <c r="K86" s="49">
        <f>K87+K89+K93+K91+K95</f>
        <v>2074.90015</v>
      </c>
      <c r="L86" s="49">
        <f>L87+L89+L93+L91+L95</f>
        <v>9529.94205</v>
      </c>
    </row>
    <row r="87" spans="1:12" ht="27.75" customHeight="1">
      <c r="A87" s="79" t="s">
        <v>364</v>
      </c>
      <c r="B87" s="64" t="s">
        <v>112</v>
      </c>
      <c r="C87" s="64" t="s">
        <v>14</v>
      </c>
      <c r="D87" s="64" t="s">
        <v>7</v>
      </c>
      <c r="E87" s="64" t="s">
        <v>365</v>
      </c>
      <c r="F87" s="64"/>
      <c r="G87" s="22"/>
      <c r="H87" s="49">
        <f>H88</f>
        <v>1667.4</v>
      </c>
      <c r="I87" s="49">
        <f>I88</f>
        <v>479.6</v>
      </c>
      <c r="J87" s="49">
        <f>J88</f>
        <v>2056</v>
      </c>
      <c r="K87" s="49">
        <f>K88</f>
        <v>0</v>
      </c>
      <c r="L87" s="49">
        <f>L88</f>
        <v>2056</v>
      </c>
    </row>
    <row r="88" spans="1:12" ht="27.75" customHeight="1">
      <c r="A88" s="79" t="s">
        <v>502</v>
      </c>
      <c r="B88" s="64" t="s">
        <v>112</v>
      </c>
      <c r="C88" s="64" t="s">
        <v>14</v>
      </c>
      <c r="D88" s="64" t="s">
        <v>7</v>
      </c>
      <c r="E88" s="64" t="s">
        <v>365</v>
      </c>
      <c r="F88" s="64" t="s">
        <v>126</v>
      </c>
      <c r="G88" s="22"/>
      <c r="H88" s="49">
        <v>1667.4</v>
      </c>
      <c r="I88" s="49">
        <v>479.6</v>
      </c>
      <c r="J88" s="49">
        <v>2056</v>
      </c>
      <c r="K88" s="49"/>
      <c r="L88" s="49">
        <f>J88+K88</f>
        <v>2056</v>
      </c>
    </row>
    <row r="89" spans="1:12" ht="44.25" customHeight="1">
      <c r="A89" s="79" t="s">
        <v>513</v>
      </c>
      <c r="B89" s="64" t="s">
        <v>112</v>
      </c>
      <c r="C89" s="64" t="s">
        <v>14</v>
      </c>
      <c r="D89" s="64" t="s">
        <v>7</v>
      </c>
      <c r="E89" s="64" t="s">
        <v>511</v>
      </c>
      <c r="F89" s="64"/>
      <c r="G89" s="22"/>
      <c r="H89" s="49">
        <f>H90</f>
        <v>433.7</v>
      </c>
      <c r="I89" s="49">
        <f>I90</f>
        <v>37.3</v>
      </c>
      <c r="J89" s="49">
        <f>J90</f>
        <v>619</v>
      </c>
      <c r="K89" s="49">
        <f>K90</f>
        <v>270</v>
      </c>
      <c r="L89" s="49">
        <f>L90</f>
        <v>889</v>
      </c>
    </row>
    <row r="90" spans="1:12" ht="42" customHeight="1">
      <c r="A90" s="79" t="s">
        <v>502</v>
      </c>
      <c r="B90" s="64" t="s">
        <v>112</v>
      </c>
      <c r="C90" s="64" t="s">
        <v>14</v>
      </c>
      <c r="D90" s="64" t="s">
        <v>7</v>
      </c>
      <c r="E90" s="64" t="s">
        <v>511</v>
      </c>
      <c r="F90" s="64" t="s">
        <v>126</v>
      </c>
      <c r="G90" s="22"/>
      <c r="H90" s="49">
        <v>433.7</v>
      </c>
      <c r="I90" s="49">
        <v>37.3</v>
      </c>
      <c r="J90" s="49">
        <v>619</v>
      </c>
      <c r="K90" s="49">
        <v>270</v>
      </c>
      <c r="L90" s="49">
        <f>J90+K90</f>
        <v>889</v>
      </c>
    </row>
    <row r="91" spans="1:12" ht="22.5">
      <c r="A91" s="79" t="s">
        <v>404</v>
      </c>
      <c r="B91" s="64" t="s">
        <v>112</v>
      </c>
      <c r="C91" s="64" t="s">
        <v>14</v>
      </c>
      <c r="D91" s="64" t="s">
        <v>7</v>
      </c>
      <c r="E91" s="64" t="s">
        <v>486</v>
      </c>
      <c r="F91" s="64"/>
      <c r="G91" s="22"/>
      <c r="H91" s="49"/>
      <c r="I91" s="49"/>
      <c r="J91" s="49">
        <f>J92</f>
        <v>4500</v>
      </c>
      <c r="K91" s="49">
        <f>K92</f>
        <v>1500</v>
      </c>
      <c r="L91" s="49">
        <f>L92</f>
        <v>6000</v>
      </c>
    </row>
    <row r="92" spans="1:12" ht="15">
      <c r="A92" s="127" t="s">
        <v>163</v>
      </c>
      <c r="B92" s="64" t="s">
        <v>112</v>
      </c>
      <c r="C92" s="64" t="s">
        <v>14</v>
      </c>
      <c r="D92" s="64" t="s">
        <v>7</v>
      </c>
      <c r="E92" s="64" t="s">
        <v>486</v>
      </c>
      <c r="F92" s="64" t="s">
        <v>134</v>
      </c>
      <c r="G92" s="22"/>
      <c r="H92" s="49"/>
      <c r="I92" s="49"/>
      <c r="J92" s="49">
        <v>4500</v>
      </c>
      <c r="K92" s="49">
        <v>1500</v>
      </c>
      <c r="L92" s="49">
        <f>J92+K92</f>
        <v>6000</v>
      </c>
    </row>
    <row r="93" spans="1:12" ht="27.75" customHeight="1">
      <c r="A93" s="79" t="s">
        <v>382</v>
      </c>
      <c r="B93" s="64" t="s">
        <v>112</v>
      </c>
      <c r="C93" s="64" t="s">
        <v>14</v>
      </c>
      <c r="D93" s="64" t="s">
        <v>7</v>
      </c>
      <c r="E93" s="64" t="s">
        <v>383</v>
      </c>
      <c r="F93" s="64"/>
      <c r="G93" s="22"/>
      <c r="H93" s="49">
        <f>H94</f>
        <v>0</v>
      </c>
      <c r="I93" s="49">
        <f>I94</f>
        <v>0</v>
      </c>
      <c r="J93" s="49">
        <f>J94</f>
        <v>150</v>
      </c>
      <c r="K93" s="49">
        <f>K94</f>
        <v>0</v>
      </c>
      <c r="L93" s="49">
        <f>L94</f>
        <v>150</v>
      </c>
    </row>
    <row r="94" spans="1:12" ht="15" customHeight="1">
      <c r="A94" s="127" t="s">
        <v>163</v>
      </c>
      <c r="B94" s="64" t="s">
        <v>112</v>
      </c>
      <c r="C94" s="64" t="s">
        <v>14</v>
      </c>
      <c r="D94" s="64" t="s">
        <v>7</v>
      </c>
      <c r="E94" s="64" t="s">
        <v>383</v>
      </c>
      <c r="F94" s="64" t="s">
        <v>134</v>
      </c>
      <c r="G94" s="22"/>
      <c r="H94" s="49"/>
      <c r="I94" s="49"/>
      <c r="J94" s="49">
        <v>150</v>
      </c>
      <c r="K94" s="49"/>
      <c r="L94" s="49">
        <f>J94+K94</f>
        <v>150</v>
      </c>
    </row>
    <row r="95" spans="1:12" ht="40.5" customHeight="1">
      <c r="A95" s="129" t="s">
        <v>512</v>
      </c>
      <c r="B95" s="64" t="s">
        <v>112</v>
      </c>
      <c r="C95" s="64" t="s">
        <v>14</v>
      </c>
      <c r="D95" s="64" t="s">
        <v>7</v>
      </c>
      <c r="E95" s="64" t="s">
        <v>514</v>
      </c>
      <c r="F95" s="64"/>
      <c r="G95" s="22"/>
      <c r="H95" s="49"/>
      <c r="I95" s="49"/>
      <c r="J95" s="49">
        <f>J96</f>
        <v>130.0419</v>
      </c>
      <c r="K95" s="49">
        <f>K96</f>
        <v>304.90015</v>
      </c>
      <c r="L95" s="49">
        <f>L96</f>
        <v>434.94205</v>
      </c>
    </row>
    <row r="96" spans="1:12" ht="15" customHeight="1">
      <c r="A96" s="79" t="s">
        <v>502</v>
      </c>
      <c r="B96" s="64" t="s">
        <v>112</v>
      </c>
      <c r="C96" s="64" t="s">
        <v>14</v>
      </c>
      <c r="D96" s="64" t="s">
        <v>7</v>
      </c>
      <c r="E96" s="64" t="s">
        <v>514</v>
      </c>
      <c r="F96" s="64" t="s">
        <v>126</v>
      </c>
      <c r="G96" s="22"/>
      <c r="H96" s="49"/>
      <c r="I96" s="49"/>
      <c r="J96" s="49">
        <v>130.0419</v>
      </c>
      <c r="K96" s="49">
        <v>304.90015</v>
      </c>
      <c r="L96" s="49">
        <f>J96+K96</f>
        <v>434.94205</v>
      </c>
    </row>
    <row r="97" spans="1:12" ht="15" customHeight="1">
      <c r="A97" s="79" t="s">
        <v>312</v>
      </c>
      <c r="B97" s="64" t="s">
        <v>112</v>
      </c>
      <c r="C97" s="64" t="s">
        <v>14</v>
      </c>
      <c r="D97" s="64" t="s">
        <v>7</v>
      </c>
      <c r="E97" s="64" t="s">
        <v>252</v>
      </c>
      <c r="F97" s="64"/>
      <c r="G97" s="22"/>
      <c r="H97" s="49">
        <f>H100+H102</f>
        <v>0</v>
      </c>
      <c r="I97" s="49">
        <f>I100+I102</f>
        <v>0</v>
      </c>
      <c r="J97" s="49">
        <f>J100+J102+J104+J106+J108+J98</f>
        <v>5929.18</v>
      </c>
      <c r="K97" s="49">
        <f>K100+K102+K104+K106+K108+K98</f>
        <v>-150</v>
      </c>
      <c r="L97" s="49">
        <f>L100+L102+L104+L106+L108+L98</f>
        <v>5779.18</v>
      </c>
    </row>
    <row r="98" spans="1:12" ht="44.25" customHeight="1">
      <c r="A98" s="79" t="s">
        <v>477</v>
      </c>
      <c r="B98" s="64" t="s">
        <v>112</v>
      </c>
      <c r="C98" s="64" t="s">
        <v>14</v>
      </c>
      <c r="D98" s="64" t="s">
        <v>7</v>
      </c>
      <c r="E98" s="64" t="s">
        <v>162</v>
      </c>
      <c r="F98" s="64"/>
      <c r="G98" s="22"/>
      <c r="H98" s="49"/>
      <c r="I98" s="49"/>
      <c r="J98" s="49">
        <f>J99</f>
        <v>342</v>
      </c>
      <c r="K98" s="49">
        <f>K99</f>
        <v>0</v>
      </c>
      <c r="L98" s="49">
        <f>L99</f>
        <v>342</v>
      </c>
    </row>
    <row r="99" spans="1:12" ht="15" customHeight="1">
      <c r="A99" s="79" t="s">
        <v>163</v>
      </c>
      <c r="B99" s="64" t="s">
        <v>112</v>
      </c>
      <c r="C99" s="64" t="s">
        <v>14</v>
      </c>
      <c r="D99" s="64" t="s">
        <v>7</v>
      </c>
      <c r="E99" s="64" t="s">
        <v>162</v>
      </c>
      <c r="F99" s="64" t="s">
        <v>134</v>
      </c>
      <c r="G99" s="22"/>
      <c r="H99" s="49"/>
      <c r="I99" s="49"/>
      <c r="J99" s="49">
        <v>342</v>
      </c>
      <c r="K99" s="49"/>
      <c r="L99" s="49">
        <f>J99+K99</f>
        <v>342</v>
      </c>
    </row>
    <row r="100" spans="1:12" ht="28.5" customHeight="1">
      <c r="A100" s="80" t="s">
        <v>278</v>
      </c>
      <c r="B100" s="64" t="s">
        <v>112</v>
      </c>
      <c r="C100" s="64" t="s">
        <v>14</v>
      </c>
      <c r="D100" s="64" t="s">
        <v>7</v>
      </c>
      <c r="E100" s="64" t="s">
        <v>279</v>
      </c>
      <c r="F100" s="64"/>
      <c r="G100" s="22"/>
      <c r="H100" s="49">
        <f>H101</f>
        <v>0</v>
      </c>
      <c r="I100" s="49">
        <f>I101</f>
        <v>0</v>
      </c>
      <c r="J100" s="49">
        <f>J101</f>
        <v>300</v>
      </c>
      <c r="K100" s="49">
        <f>K101</f>
        <v>-150</v>
      </c>
      <c r="L100" s="49">
        <f>L101</f>
        <v>150</v>
      </c>
    </row>
    <row r="101" spans="1:12" ht="15" customHeight="1">
      <c r="A101" s="127" t="s">
        <v>163</v>
      </c>
      <c r="B101" s="64" t="s">
        <v>112</v>
      </c>
      <c r="C101" s="64" t="s">
        <v>14</v>
      </c>
      <c r="D101" s="64" t="s">
        <v>7</v>
      </c>
      <c r="E101" s="64" t="s">
        <v>279</v>
      </c>
      <c r="F101" s="64" t="s">
        <v>134</v>
      </c>
      <c r="G101" s="22"/>
      <c r="H101" s="49"/>
      <c r="I101" s="49"/>
      <c r="J101" s="49">
        <v>300</v>
      </c>
      <c r="K101" s="49">
        <f>-20.1-129.9</f>
        <v>-150</v>
      </c>
      <c r="L101" s="49">
        <f>J101+K101</f>
        <v>150</v>
      </c>
    </row>
    <row r="102" spans="1:13" ht="30.75" customHeight="1">
      <c r="A102" s="83" t="s">
        <v>313</v>
      </c>
      <c r="B102" s="64" t="s">
        <v>112</v>
      </c>
      <c r="C102" s="64" t="s">
        <v>14</v>
      </c>
      <c r="D102" s="64" t="s">
        <v>7</v>
      </c>
      <c r="E102" s="64" t="s">
        <v>314</v>
      </c>
      <c r="F102" s="64"/>
      <c r="G102" s="22"/>
      <c r="H102" s="49">
        <f>H103</f>
        <v>0</v>
      </c>
      <c r="I102" s="49">
        <f>I103</f>
        <v>0</v>
      </c>
      <c r="J102" s="49">
        <f>J103</f>
        <v>167</v>
      </c>
      <c r="K102" s="49">
        <f>K103</f>
        <v>0</v>
      </c>
      <c r="L102" s="49">
        <f>L103</f>
        <v>167</v>
      </c>
      <c r="M102" s="114"/>
    </row>
    <row r="103" spans="1:12" ht="15" customHeight="1">
      <c r="A103" s="127" t="s">
        <v>163</v>
      </c>
      <c r="B103" s="64" t="s">
        <v>112</v>
      </c>
      <c r="C103" s="64" t="s">
        <v>14</v>
      </c>
      <c r="D103" s="64" t="s">
        <v>7</v>
      </c>
      <c r="E103" s="64" t="s">
        <v>314</v>
      </c>
      <c r="F103" s="64" t="s">
        <v>134</v>
      </c>
      <c r="G103" s="22"/>
      <c r="H103" s="49"/>
      <c r="I103" s="49"/>
      <c r="J103" s="49">
        <v>167</v>
      </c>
      <c r="K103" s="49"/>
      <c r="L103" s="49">
        <f>J103+K103</f>
        <v>167</v>
      </c>
    </row>
    <row r="104" spans="1:12" ht="30" customHeight="1">
      <c r="A104" s="84" t="s">
        <v>481</v>
      </c>
      <c r="B104" s="64" t="s">
        <v>112</v>
      </c>
      <c r="C104" s="64" t="s">
        <v>14</v>
      </c>
      <c r="D104" s="64" t="s">
        <v>7</v>
      </c>
      <c r="E104" s="64" t="s">
        <v>482</v>
      </c>
      <c r="F104" s="64"/>
      <c r="G104" s="22"/>
      <c r="H104" s="49"/>
      <c r="I104" s="49"/>
      <c r="J104" s="49">
        <f>J105</f>
        <v>4500</v>
      </c>
      <c r="K104" s="49">
        <f>K105</f>
        <v>0</v>
      </c>
      <c r="L104" s="49">
        <f>L105</f>
        <v>4500</v>
      </c>
    </row>
    <row r="105" spans="1:12" ht="45" customHeight="1">
      <c r="A105" s="79" t="s">
        <v>502</v>
      </c>
      <c r="B105" s="64" t="s">
        <v>112</v>
      </c>
      <c r="C105" s="64" t="s">
        <v>14</v>
      </c>
      <c r="D105" s="64" t="s">
        <v>7</v>
      </c>
      <c r="E105" s="64" t="s">
        <v>482</v>
      </c>
      <c r="F105" s="64" t="s">
        <v>126</v>
      </c>
      <c r="G105" s="22"/>
      <c r="H105" s="49"/>
      <c r="I105" s="49"/>
      <c r="J105" s="49">
        <v>4500</v>
      </c>
      <c r="K105" s="49"/>
      <c r="L105" s="49">
        <f>J105+K105</f>
        <v>4500</v>
      </c>
    </row>
    <row r="106" spans="1:12" ht="33.75" customHeight="1">
      <c r="A106" s="85" t="s">
        <v>479</v>
      </c>
      <c r="B106" s="64" t="s">
        <v>112</v>
      </c>
      <c r="C106" s="64" t="s">
        <v>14</v>
      </c>
      <c r="D106" s="64" t="s">
        <v>7</v>
      </c>
      <c r="E106" s="64" t="s">
        <v>480</v>
      </c>
      <c r="F106" s="64"/>
      <c r="G106" s="22"/>
      <c r="H106" s="49"/>
      <c r="I106" s="49"/>
      <c r="J106" s="49">
        <f>J107</f>
        <v>570.18</v>
      </c>
      <c r="K106" s="49">
        <f>K107</f>
        <v>0</v>
      </c>
      <c r="L106" s="49">
        <f>L107</f>
        <v>570.18</v>
      </c>
    </row>
    <row r="107" spans="1:12" ht="45" customHeight="1">
      <c r="A107" s="79" t="s">
        <v>502</v>
      </c>
      <c r="B107" s="64" t="s">
        <v>112</v>
      </c>
      <c r="C107" s="64" t="s">
        <v>14</v>
      </c>
      <c r="D107" s="64" t="s">
        <v>7</v>
      </c>
      <c r="E107" s="64" t="s">
        <v>480</v>
      </c>
      <c r="F107" s="64" t="s">
        <v>126</v>
      </c>
      <c r="G107" s="22"/>
      <c r="H107" s="49"/>
      <c r="I107" s="49"/>
      <c r="J107" s="49">
        <v>570.18</v>
      </c>
      <c r="K107" s="49"/>
      <c r="L107" s="49">
        <f>J107+K107</f>
        <v>570.18</v>
      </c>
    </row>
    <row r="108" spans="1:12" ht="46.5" customHeight="1">
      <c r="A108" s="86" t="s">
        <v>483</v>
      </c>
      <c r="B108" s="64" t="s">
        <v>112</v>
      </c>
      <c r="C108" s="64" t="s">
        <v>14</v>
      </c>
      <c r="D108" s="64" t="s">
        <v>7</v>
      </c>
      <c r="E108" s="64" t="s">
        <v>484</v>
      </c>
      <c r="F108" s="64"/>
      <c r="G108" s="22"/>
      <c r="H108" s="49"/>
      <c r="I108" s="49"/>
      <c r="J108" s="49">
        <f>J109</f>
        <v>50</v>
      </c>
      <c r="K108" s="49">
        <f>K109</f>
        <v>0</v>
      </c>
      <c r="L108" s="49">
        <f>L109</f>
        <v>50</v>
      </c>
    </row>
    <row r="109" spans="1:12" ht="15" customHeight="1">
      <c r="A109" s="127" t="s">
        <v>163</v>
      </c>
      <c r="B109" s="64" t="s">
        <v>112</v>
      </c>
      <c r="C109" s="64" t="s">
        <v>14</v>
      </c>
      <c r="D109" s="64" t="s">
        <v>7</v>
      </c>
      <c r="E109" s="64" t="s">
        <v>484</v>
      </c>
      <c r="F109" s="64" t="s">
        <v>134</v>
      </c>
      <c r="G109" s="22"/>
      <c r="H109" s="49"/>
      <c r="I109" s="49"/>
      <c r="J109" s="49">
        <v>50</v>
      </c>
      <c r="K109" s="49"/>
      <c r="L109" s="49">
        <f>J109+K109</f>
        <v>50</v>
      </c>
    </row>
    <row r="110" spans="1:12" ht="15" customHeight="1" hidden="1">
      <c r="A110" s="87"/>
      <c r="B110" s="64"/>
      <c r="C110" s="64"/>
      <c r="D110" s="64"/>
      <c r="E110" s="64"/>
      <c r="F110" s="64"/>
      <c r="G110" s="22"/>
      <c r="H110" s="49"/>
      <c r="I110" s="49"/>
      <c r="J110" s="49"/>
      <c r="K110" s="49"/>
      <c r="L110" s="49"/>
    </row>
    <row r="111" spans="1:12" ht="15" customHeight="1" hidden="1">
      <c r="A111" s="87"/>
      <c r="B111" s="64"/>
      <c r="C111" s="64"/>
      <c r="D111" s="64"/>
      <c r="E111" s="64"/>
      <c r="F111" s="64"/>
      <c r="G111" s="22"/>
      <c r="H111" s="49"/>
      <c r="I111" s="49"/>
      <c r="J111" s="49"/>
      <c r="K111" s="49"/>
      <c r="L111" s="49"/>
    </row>
    <row r="112" spans="1:12" ht="15" customHeight="1" hidden="1">
      <c r="A112" s="87"/>
      <c r="B112" s="64"/>
      <c r="C112" s="64"/>
      <c r="D112" s="64"/>
      <c r="E112" s="64"/>
      <c r="F112" s="64"/>
      <c r="G112" s="22"/>
      <c r="H112" s="49"/>
      <c r="I112" s="49"/>
      <c r="J112" s="49"/>
      <c r="K112" s="49"/>
      <c r="L112" s="49"/>
    </row>
    <row r="113" spans="1:12" ht="15" customHeight="1" hidden="1">
      <c r="A113" s="87"/>
      <c r="B113" s="64"/>
      <c r="C113" s="64"/>
      <c r="D113" s="64"/>
      <c r="E113" s="64"/>
      <c r="F113" s="64"/>
      <c r="G113" s="22"/>
      <c r="H113" s="49"/>
      <c r="I113" s="49"/>
      <c r="J113" s="49"/>
      <c r="K113" s="49"/>
      <c r="L113" s="49"/>
    </row>
    <row r="114" spans="1:12" ht="15">
      <c r="A114" s="76" t="s">
        <v>141</v>
      </c>
      <c r="B114" s="63" t="s">
        <v>112</v>
      </c>
      <c r="C114" s="63" t="s">
        <v>14</v>
      </c>
      <c r="D114" s="63" t="s">
        <v>11</v>
      </c>
      <c r="E114" s="63"/>
      <c r="F114" s="63"/>
      <c r="G114" s="17" t="e">
        <f>G115+#REF!</f>
        <v>#REF!</v>
      </c>
      <c r="H114" s="47">
        <f aca="true" t="shared" si="5" ref="H114:L115">H115</f>
        <v>100</v>
      </c>
      <c r="I114" s="47">
        <f t="shared" si="5"/>
        <v>460</v>
      </c>
      <c r="J114" s="47">
        <f t="shared" si="5"/>
        <v>2073.627</v>
      </c>
      <c r="K114" s="47">
        <f t="shared" si="5"/>
        <v>-731.207</v>
      </c>
      <c r="L114" s="47">
        <f t="shared" si="5"/>
        <v>1342.42</v>
      </c>
    </row>
    <row r="115" spans="1:12" ht="23.25">
      <c r="A115" s="77" t="s">
        <v>88</v>
      </c>
      <c r="B115" s="64" t="s">
        <v>112</v>
      </c>
      <c r="C115" s="64" t="s">
        <v>14</v>
      </c>
      <c r="D115" s="64" t="s">
        <v>11</v>
      </c>
      <c r="E115" s="64" t="s">
        <v>89</v>
      </c>
      <c r="F115" s="64"/>
      <c r="G115" s="22">
        <f>G116</f>
        <v>-224</v>
      </c>
      <c r="H115" s="49">
        <f t="shared" si="5"/>
        <v>100</v>
      </c>
      <c r="I115" s="49">
        <f t="shared" si="5"/>
        <v>460</v>
      </c>
      <c r="J115" s="49">
        <f t="shared" si="5"/>
        <v>2073.627</v>
      </c>
      <c r="K115" s="49">
        <f t="shared" si="5"/>
        <v>-731.207</v>
      </c>
      <c r="L115" s="49">
        <f t="shared" si="5"/>
        <v>1342.42</v>
      </c>
    </row>
    <row r="116" spans="1:12" ht="23.25">
      <c r="A116" s="77" t="s">
        <v>90</v>
      </c>
      <c r="B116" s="64" t="s">
        <v>112</v>
      </c>
      <c r="C116" s="64" t="s">
        <v>14</v>
      </c>
      <c r="D116" s="64" t="s">
        <v>11</v>
      </c>
      <c r="E116" s="64" t="s">
        <v>91</v>
      </c>
      <c r="F116" s="64"/>
      <c r="G116" s="22">
        <f>G117</f>
        <v>-224</v>
      </c>
      <c r="H116" s="49">
        <f>H117+H118</f>
        <v>100</v>
      </c>
      <c r="I116" s="49">
        <f>I117+I118</f>
        <v>460</v>
      </c>
      <c r="J116" s="49">
        <f>J117+J118</f>
        <v>2073.627</v>
      </c>
      <c r="K116" s="49">
        <f>K117+K118</f>
        <v>-731.207</v>
      </c>
      <c r="L116" s="49">
        <f>L117+L118</f>
        <v>1342.42</v>
      </c>
    </row>
    <row r="117" spans="1:12" ht="31.5" customHeight="1" hidden="1">
      <c r="A117" s="77" t="s">
        <v>100</v>
      </c>
      <c r="B117" s="64" t="s">
        <v>112</v>
      </c>
      <c r="C117" s="64" t="s">
        <v>14</v>
      </c>
      <c r="D117" s="64" t="s">
        <v>11</v>
      </c>
      <c r="E117" s="64" t="s">
        <v>91</v>
      </c>
      <c r="F117" s="64" t="s">
        <v>93</v>
      </c>
      <c r="G117" s="22">
        <v>-224</v>
      </c>
      <c r="H117" s="49"/>
      <c r="I117" s="49"/>
      <c r="J117" s="49">
        <f>H117+I117</f>
        <v>0</v>
      </c>
      <c r="K117" s="49"/>
      <c r="L117" s="49">
        <f>J117+K117</f>
        <v>0</v>
      </c>
    </row>
    <row r="118" spans="1:12" ht="47.25" customHeight="1">
      <c r="A118" s="79" t="s">
        <v>502</v>
      </c>
      <c r="B118" s="64" t="s">
        <v>112</v>
      </c>
      <c r="C118" s="64" t="s">
        <v>14</v>
      </c>
      <c r="D118" s="64" t="s">
        <v>11</v>
      </c>
      <c r="E118" s="64" t="s">
        <v>91</v>
      </c>
      <c r="F118" s="64" t="s">
        <v>126</v>
      </c>
      <c r="G118" s="20"/>
      <c r="H118" s="49">
        <v>100</v>
      </c>
      <c r="I118" s="49">
        <v>460</v>
      </c>
      <c r="J118" s="49">
        <v>2073.627</v>
      </c>
      <c r="K118" s="49">
        <v>-731.207</v>
      </c>
      <c r="L118" s="49">
        <f>J118+K118</f>
        <v>1342.42</v>
      </c>
    </row>
    <row r="119" spans="1:12" ht="15">
      <c r="A119" s="76" t="s">
        <v>46</v>
      </c>
      <c r="B119" s="63" t="s">
        <v>112</v>
      </c>
      <c r="C119" s="63" t="s">
        <v>14</v>
      </c>
      <c r="D119" s="63" t="s">
        <v>14</v>
      </c>
      <c r="E119" s="63"/>
      <c r="F119" s="63"/>
      <c r="G119" s="17" t="e">
        <f aca="true" t="shared" si="6" ref="G119:L119">G120</f>
        <v>#REF!</v>
      </c>
      <c r="H119" s="47">
        <f t="shared" si="6"/>
        <v>190.2</v>
      </c>
      <c r="I119" s="47">
        <f t="shared" si="6"/>
        <v>1613.8</v>
      </c>
      <c r="J119" s="47">
        <f>J120</f>
        <v>2025.332</v>
      </c>
      <c r="K119" s="47">
        <f>K120</f>
        <v>0</v>
      </c>
      <c r="L119" s="47">
        <f t="shared" si="6"/>
        <v>2025.332</v>
      </c>
    </row>
    <row r="120" spans="1:12" ht="23.25">
      <c r="A120" s="77" t="s">
        <v>142</v>
      </c>
      <c r="B120" s="64" t="s">
        <v>112</v>
      </c>
      <c r="C120" s="64" t="s">
        <v>14</v>
      </c>
      <c r="D120" s="64" t="s">
        <v>14</v>
      </c>
      <c r="E120" s="64" t="s">
        <v>143</v>
      </c>
      <c r="F120" s="64"/>
      <c r="G120" s="22" t="e">
        <f>G121</f>
        <v>#REF!</v>
      </c>
      <c r="H120" s="49">
        <f>H121+H123+H125+H127+H126</f>
        <v>190.2</v>
      </c>
      <c r="I120" s="49">
        <f>I121+I123+I125+I127+I126</f>
        <v>1613.8</v>
      </c>
      <c r="J120" s="49">
        <f>J121+J123+J125+J127</f>
        <v>2025.332</v>
      </c>
      <c r="K120" s="49">
        <f>K121+K123+K125+K127</f>
        <v>0</v>
      </c>
      <c r="L120" s="49">
        <f>L121+L123+L125+L127</f>
        <v>2025.332</v>
      </c>
    </row>
    <row r="121" spans="1:12" ht="15" customHeight="1" hidden="1">
      <c r="A121" s="77" t="s">
        <v>360</v>
      </c>
      <c r="B121" s="64" t="s">
        <v>112</v>
      </c>
      <c r="C121" s="64" t="s">
        <v>14</v>
      </c>
      <c r="D121" s="64" t="s">
        <v>14</v>
      </c>
      <c r="E121" s="64" t="s">
        <v>144</v>
      </c>
      <c r="F121" s="64"/>
      <c r="G121" s="22" t="e">
        <f>G122+#REF!</f>
        <v>#REF!</v>
      </c>
      <c r="H121" s="49">
        <f>H122</f>
        <v>0</v>
      </c>
      <c r="I121" s="49">
        <f>I122</f>
        <v>0</v>
      </c>
      <c r="J121" s="49">
        <f>J122</f>
        <v>0</v>
      </c>
      <c r="K121" s="49">
        <f>K122</f>
        <v>0</v>
      </c>
      <c r="L121" s="49">
        <f>L122</f>
        <v>0</v>
      </c>
    </row>
    <row r="122" spans="1:12" ht="15" customHeight="1" hidden="1">
      <c r="A122" s="77" t="s">
        <v>100</v>
      </c>
      <c r="B122" s="64" t="s">
        <v>112</v>
      </c>
      <c r="C122" s="64" t="s">
        <v>14</v>
      </c>
      <c r="D122" s="64" t="s">
        <v>14</v>
      </c>
      <c r="E122" s="64" t="s">
        <v>144</v>
      </c>
      <c r="F122" s="64" t="s">
        <v>134</v>
      </c>
      <c r="G122" s="22">
        <v>321</v>
      </c>
      <c r="H122" s="49"/>
      <c r="I122" s="49"/>
      <c r="J122" s="49">
        <f>H122+I122</f>
        <v>0</v>
      </c>
      <c r="K122" s="49"/>
      <c r="L122" s="49">
        <f>J122+K122</f>
        <v>0</v>
      </c>
    </row>
    <row r="123" spans="1:12" ht="21.75" customHeight="1">
      <c r="A123" s="77" t="s">
        <v>359</v>
      </c>
      <c r="B123" s="64" t="s">
        <v>112</v>
      </c>
      <c r="C123" s="64" t="s">
        <v>14</v>
      </c>
      <c r="D123" s="64" t="s">
        <v>14</v>
      </c>
      <c r="E123" s="64" t="s">
        <v>148</v>
      </c>
      <c r="F123" s="64"/>
      <c r="G123" s="22"/>
      <c r="H123" s="49">
        <f>H124</f>
        <v>0</v>
      </c>
      <c r="I123" s="49">
        <f>I124</f>
        <v>1804</v>
      </c>
      <c r="J123" s="49">
        <f>J124</f>
        <v>1775.332</v>
      </c>
      <c r="K123" s="49">
        <f>K124</f>
        <v>0</v>
      </c>
      <c r="L123" s="49">
        <f>L124</f>
        <v>1775.332</v>
      </c>
    </row>
    <row r="124" spans="1:12" ht="15" customHeight="1">
      <c r="A124" s="127" t="s">
        <v>163</v>
      </c>
      <c r="B124" s="64" t="s">
        <v>112</v>
      </c>
      <c r="C124" s="64" t="s">
        <v>14</v>
      </c>
      <c r="D124" s="64" t="s">
        <v>14</v>
      </c>
      <c r="E124" s="64" t="s">
        <v>148</v>
      </c>
      <c r="F124" s="64" t="s">
        <v>134</v>
      </c>
      <c r="G124" s="22">
        <v>500</v>
      </c>
      <c r="H124" s="49"/>
      <c r="I124" s="49">
        <v>1804</v>
      </c>
      <c r="J124" s="49">
        <v>1775.332</v>
      </c>
      <c r="K124" s="49"/>
      <c r="L124" s="49">
        <f>J124+K124</f>
        <v>1775.332</v>
      </c>
    </row>
    <row r="125" spans="1:12" ht="24" customHeight="1">
      <c r="A125" s="77" t="s">
        <v>487</v>
      </c>
      <c r="B125" s="64" t="s">
        <v>112</v>
      </c>
      <c r="C125" s="64" t="s">
        <v>14</v>
      </c>
      <c r="D125" s="64" t="s">
        <v>14</v>
      </c>
      <c r="E125" s="64" t="s">
        <v>146</v>
      </c>
      <c r="F125" s="64"/>
      <c r="G125" s="22"/>
      <c r="H125" s="49"/>
      <c r="I125" s="49"/>
      <c r="J125" s="49">
        <f>J126</f>
        <v>250</v>
      </c>
      <c r="K125" s="49">
        <f>K126</f>
        <v>0</v>
      </c>
      <c r="L125" s="49">
        <f>L126</f>
        <v>250</v>
      </c>
    </row>
    <row r="126" spans="1:12" ht="26.25" customHeight="1">
      <c r="A126" s="127" t="s">
        <v>163</v>
      </c>
      <c r="B126" s="64" t="s">
        <v>112</v>
      </c>
      <c r="C126" s="64" t="s">
        <v>14</v>
      </c>
      <c r="D126" s="64" t="s">
        <v>14</v>
      </c>
      <c r="E126" s="64" t="s">
        <v>146</v>
      </c>
      <c r="F126" s="64" t="s">
        <v>134</v>
      </c>
      <c r="G126" s="22"/>
      <c r="H126" s="49">
        <v>190.2</v>
      </c>
      <c r="I126" s="49">
        <v>-190.2</v>
      </c>
      <c r="J126" s="49">
        <v>250</v>
      </c>
      <c r="K126" s="49"/>
      <c r="L126" s="49">
        <f>J126+K126</f>
        <v>250</v>
      </c>
    </row>
    <row r="127" spans="1:12" ht="31.5" customHeight="1" hidden="1">
      <c r="A127" s="79"/>
      <c r="B127" s="64"/>
      <c r="C127" s="64"/>
      <c r="D127" s="64"/>
      <c r="E127" s="64"/>
      <c r="F127" s="64"/>
      <c r="G127" s="22"/>
      <c r="H127" s="49"/>
      <c r="I127" s="49"/>
      <c r="J127" s="49"/>
      <c r="K127" s="49"/>
      <c r="L127" s="49"/>
    </row>
    <row r="128" spans="1:12" ht="15.75" customHeight="1">
      <c r="A128" s="76" t="s">
        <v>47</v>
      </c>
      <c r="B128" s="63" t="s">
        <v>112</v>
      </c>
      <c r="C128" s="63" t="s">
        <v>14</v>
      </c>
      <c r="D128" s="63" t="s">
        <v>28</v>
      </c>
      <c r="E128" s="63"/>
      <c r="F128" s="63"/>
      <c r="G128" s="18" t="e">
        <f>G129+G139+#REF!+#REF!+G133+G148</f>
        <v>#REF!</v>
      </c>
      <c r="H128" s="47">
        <f>H129+H133+H139+H148</f>
        <v>5704.41</v>
      </c>
      <c r="I128" s="47">
        <f>I129+I133+I139+I148</f>
        <v>3932.65</v>
      </c>
      <c r="J128" s="47">
        <f>J129+J133+J139+J148</f>
        <v>8660.007000000001</v>
      </c>
      <c r="K128" s="47">
        <f>K129+K133+K139+K148</f>
        <v>123.05863</v>
      </c>
      <c r="L128" s="47">
        <f>L129+L133+L139+L148</f>
        <v>8783.065630000001</v>
      </c>
    </row>
    <row r="129" spans="1:12" ht="23.25">
      <c r="A129" s="77" t="s">
        <v>503</v>
      </c>
      <c r="B129" s="64" t="s">
        <v>112</v>
      </c>
      <c r="C129" s="64" t="s">
        <v>14</v>
      </c>
      <c r="D129" s="64" t="s">
        <v>28</v>
      </c>
      <c r="E129" s="64" t="s">
        <v>115</v>
      </c>
      <c r="F129" s="64"/>
      <c r="G129" s="22" t="e">
        <f aca="true" t="shared" si="7" ref="G129:L129">G130</f>
        <v>#REF!</v>
      </c>
      <c r="H129" s="49">
        <f t="shared" si="7"/>
        <v>1049.99</v>
      </c>
      <c r="I129" s="49">
        <f t="shared" si="7"/>
        <v>246.5</v>
      </c>
      <c r="J129" s="49">
        <f t="shared" si="7"/>
        <v>1296.49</v>
      </c>
      <c r="K129" s="49">
        <f t="shared" si="7"/>
        <v>-190</v>
      </c>
      <c r="L129" s="49">
        <f t="shared" si="7"/>
        <v>1106.49</v>
      </c>
    </row>
    <row r="130" spans="1:12" ht="15">
      <c r="A130" s="77" t="s">
        <v>116</v>
      </c>
      <c r="B130" s="64" t="s">
        <v>112</v>
      </c>
      <c r="C130" s="64" t="s">
        <v>14</v>
      </c>
      <c r="D130" s="64" t="s">
        <v>28</v>
      </c>
      <c r="E130" s="64" t="s">
        <v>117</v>
      </c>
      <c r="F130" s="64"/>
      <c r="G130" s="22" t="e">
        <f>#REF!+#REF!</f>
        <v>#REF!</v>
      </c>
      <c r="H130" s="49">
        <f>H131+H132</f>
        <v>1049.99</v>
      </c>
      <c r="I130" s="49">
        <f>I131+I132</f>
        <v>246.5</v>
      </c>
      <c r="J130" s="49">
        <f>J131+J132</f>
        <v>1296.49</v>
      </c>
      <c r="K130" s="49">
        <f>K131+K132</f>
        <v>-190</v>
      </c>
      <c r="L130" s="49">
        <f>L131+L132</f>
        <v>1106.49</v>
      </c>
    </row>
    <row r="131" spans="1:12" ht="22.5">
      <c r="A131" s="79" t="s">
        <v>150</v>
      </c>
      <c r="B131" s="64" t="s">
        <v>112</v>
      </c>
      <c r="C131" s="64" t="s">
        <v>14</v>
      </c>
      <c r="D131" s="64" t="s">
        <v>28</v>
      </c>
      <c r="E131" s="64" t="s">
        <v>117</v>
      </c>
      <c r="F131" s="64" t="s">
        <v>151</v>
      </c>
      <c r="G131" s="22"/>
      <c r="H131" s="49">
        <v>1049.99</v>
      </c>
      <c r="I131" s="49">
        <v>246.5</v>
      </c>
      <c r="J131" s="49">
        <f>H131+I131</f>
        <v>1296.49</v>
      </c>
      <c r="K131" s="49">
        <v>-190</v>
      </c>
      <c r="L131" s="49">
        <f>J131+K131</f>
        <v>1106.49</v>
      </c>
    </row>
    <row r="132" spans="1:12" ht="15" customHeight="1" hidden="1">
      <c r="A132" s="77" t="s">
        <v>94</v>
      </c>
      <c r="B132" s="64" t="s">
        <v>112</v>
      </c>
      <c r="C132" s="64" t="s">
        <v>14</v>
      </c>
      <c r="D132" s="64" t="s">
        <v>28</v>
      </c>
      <c r="E132" s="64" t="s">
        <v>117</v>
      </c>
      <c r="F132" s="64" t="s">
        <v>93</v>
      </c>
      <c r="G132" s="22">
        <f>519.1+79</f>
        <v>598.1</v>
      </c>
      <c r="H132" s="49"/>
      <c r="I132" s="49"/>
      <c r="J132" s="49">
        <f>H132+I132</f>
        <v>0</v>
      </c>
      <c r="K132" s="49"/>
      <c r="L132" s="49">
        <f>J132+K132</f>
        <v>0</v>
      </c>
    </row>
    <row r="133" spans="1:12" ht="67.5">
      <c r="A133" s="128" t="s">
        <v>356</v>
      </c>
      <c r="B133" s="64" t="s">
        <v>112</v>
      </c>
      <c r="C133" s="64" t="s">
        <v>14</v>
      </c>
      <c r="D133" s="64" t="s">
        <v>28</v>
      </c>
      <c r="E133" s="64" t="s">
        <v>152</v>
      </c>
      <c r="F133" s="64"/>
      <c r="G133" s="22"/>
      <c r="H133" s="49">
        <f>H134+H135+H137+H138</f>
        <v>665.8</v>
      </c>
      <c r="I133" s="49">
        <f>I134+I135+I137+I138</f>
        <v>49</v>
      </c>
      <c r="J133" s="49">
        <f>J134+J135+J137+J138+J136</f>
        <v>495.46999999999997</v>
      </c>
      <c r="K133" s="49">
        <f>K134+K135+K137+K138+K136</f>
        <v>-19.62597</v>
      </c>
      <c r="L133" s="49">
        <f>L134+L135+L137+L138+L136</f>
        <v>475.84403</v>
      </c>
    </row>
    <row r="134" spans="1:12" ht="22.5">
      <c r="A134" s="79" t="s">
        <v>150</v>
      </c>
      <c r="B134" s="64" t="s">
        <v>112</v>
      </c>
      <c r="C134" s="64" t="s">
        <v>14</v>
      </c>
      <c r="D134" s="64" t="s">
        <v>28</v>
      </c>
      <c r="E134" s="64" t="s">
        <v>152</v>
      </c>
      <c r="F134" s="64" t="s">
        <v>151</v>
      </c>
      <c r="G134" s="22"/>
      <c r="H134" s="49">
        <v>487.61</v>
      </c>
      <c r="I134" s="49">
        <v>49</v>
      </c>
      <c r="J134" s="49">
        <v>367.97911</v>
      </c>
      <c r="K134" s="49"/>
      <c r="L134" s="49">
        <f>SUM(J134:K134)</f>
        <v>367.97911</v>
      </c>
    </row>
    <row r="135" spans="1:12" ht="26.25" customHeight="1">
      <c r="A135" s="79" t="s">
        <v>153</v>
      </c>
      <c r="B135" s="64" t="s">
        <v>112</v>
      </c>
      <c r="C135" s="64" t="s">
        <v>14</v>
      </c>
      <c r="D135" s="64" t="s">
        <v>28</v>
      </c>
      <c r="E135" s="64" t="s">
        <v>152</v>
      </c>
      <c r="F135" s="64" t="s">
        <v>154</v>
      </c>
      <c r="G135" s="22"/>
      <c r="H135" s="49">
        <v>10.2</v>
      </c>
      <c r="I135" s="49"/>
      <c r="J135" s="49">
        <v>4.4</v>
      </c>
      <c r="K135" s="49">
        <v>-2.7</v>
      </c>
      <c r="L135" s="49">
        <f>SUM(J135:K135)</f>
        <v>1.7000000000000002</v>
      </c>
    </row>
    <row r="136" spans="1:12" ht="26.25" customHeight="1">
      <c r="A136" s="79" t="s">
        <v>156</v>
      </c>
      <c r="B136" s="64" t="s">
        <v>112</v>
      </c>
      <c r="C136" s="64" t="s">
        <v>14</v>
      </c>
      <c r="D136" s="64" t="s">
        <v>28</v>
      </c>
      <c r="E136" s="64" t="s">
        <v>152</v>
      </c>
      <c r="F136" s="64" t="s">
        <v>157</v>
      </c>
      <c r="G136" s="22"/>
      <c r="H136" s="49">
        <v>166.99</v>
      </c>
      <c r="I136" s="49"/>
      <c r="J136" s="49">
        <v>3.5</v>
      </c>
      <c r="K136" s="49"/>
      <c r="L136" s="49">
        <f>SUM(J136:K136)</f>
        <v>3.5</v>
      </c>
    </row>
    <row r="137" spans="1:12" ht="24" customHeight="1">
      <c r="A137" s="79" t="s">
        <v>499</v>
      </c>
      <c r="B137" s="64" t="s">
        <v>112</v>
      </c>
      <c r="C137" s="64" t="s">
        <v>14</v>
      </c>
      <c r="D137" s="64" t="s">
        <v>28</v>
      </c>
      <c r="E137" s="64" t="s">
        <v>152</v>
      </c>
      <c r="F137" s="64" t="s">
        <v>147</v>
      </c>
      <c r="G137" s="22"/>
      <c r="H137" s="49">
        <v>167.99</v>
      </c>
      <c r="I137" s="49"/>
      <c r="J137" s="49">
        <v>119.59089</v>
      </c>
      <c r="K137" s="49">
        <v>-16.92597</v>
      </c>
      <c r="L137" s="49">
        <f>SUM(J137:K137)</f>
        <v>102.66492</v>
      </c>
    </row>
    <row r="138" spans="1:12" ht="15" customHeight="1" hidden="1">
      <c r="A138" s="77" t="s">
        <v>94</v>
      </c>
      <c r="B138" s="64" t="s">
        <v>112</v>
      </c>
      <c r="C138" s="64" t="s">
        <v>14</v>
      </c>
      <c r="D138" s="64" t="s">
        <v>28</v>
      </c>
      <c r="E138" s="64" t="s">
        <v>152</v>
      </c>
      <c r="F138" s="64" t="s">
        <v>93</v>
      </c>
      <c r="G138" s="22"/>
      <c r="H138" s="49"/>
      <c r="I138" s="49"/>
      <c r="J138" s="49">
        <f>H138+I138</f>
        <v>0</v>
      </c>
      <c r="K138" s="49"/>
      <c r="L138" s="49">
        <f>J138+K138</f>
        <v>0</v>
      </c>
    </row>
    <row r="139" spans="1:12" ht="68.25">
      <c r="A139" s="77" t="s">
        <v>155</v>
      </c>
      <c r="B139" s="64" t="s">
        <v>112</v>
      </c>
      <c r="C139" s="64" t="s">
        <v>14</v>
      </c>
      <c r="D139" s="64" t="s">
        <v>28</v>
      </c>
      <c r="E139" s="64" t="s">
        <v>104</v>
      </c>
      <c r="F139" s="64"/>
      <c r="G139" s="22">
        <f aca="true" t="shared" si="8" ref="G139:L139">G140</f>
        <v>80</v>
      </c>
      <c r="H139" s="49">
        <f t="shared" si="8"/>
        <v>3988.62</v>
      </c>
      <c r="I139" s="49">
        <f t="shared" si="8"/>
        <v>3387.15</v>
      </c>
      <c r="J139" s="49">
        <f t="shared" si="8"/>
        <v>6868.0470000000005</v>
      </c>
      <c r="K139" s="49">
        <f t="shared" si="8"/>
        <v>332.6846</v>
      </c>
      <c r="L139" s="49">
        <f t="shared" si="8"/>
        <v>7200.7316</v>
      </c>
    </row>
    <row r="140" spans="1:12" ht="23.25">
      <c r="A140" s="77" t="s">
        <v>98</v>
      </c>
      <c r="B140" s="64" t="s">
        <v>112</v>
      </c>
      <c r="C140" s="64" t="s">
        <v>14</v>
      </c>
      <c r="D140" s="64" t="s">
        <v>28</v>
      </c>
      <c r="E140" s="64" t="s">
        <v>105</v>
      </c>
      <c r="F140" s="64"/>
      <c r="G140" s="22">
        <f>G141</f>
        <v>80</v>
      </c>
      <c r="H140" s="49">
        <f>H141+H142+H143+H145+H144+H146+H147</f>
        <v>3988.62</v>
      </c>
      <c r="I140" s="49">
        <f>I141+I142+I143+I145+I144+I146+I147</f>
        <v>3387.15</v>
      </c>
      <c r="J140" s="49">
        <f>J141+J142+J143+J145+J144+J146+J147</f>
        <v>6868.0470000000005</v>
      </c>
      <c r="K140" s="49">
        <f>K141+K142+K143+K145+K144+K146+K147</f>
        <v>332.6846</v>
      </c>
      <c r="L140" s="49">
        <f>L141+L142+L143+L145+L144+L146+L147</f>
        <v>7200.7316</v>
      </c>
    </row>
    <row r="141" spans="1:12" ht="15" customHeight="1" hidden="1">
      <c r="A141" s="77" t="s">
        <v>121</v>
      </c>
      <c r="B141" s="64" t="s">
        <v>112</v>
      </c>
      <c r="C141" s="64" t="s">
        <v>14</v>
      </c>
      <c r="D141" s="64" t="s">
        <v>28</v>
      </c>
      <c r="E141" s="64" t="s">
        <v>105</v>
      </c>
      <c r="F141" s="64" t="s">
        <v>97</v>
      </c>
      <c r="G141" s="22">
        <f>50+30</f>
        <v>80</v>
      </c>
      <c r="H141" s="49"/>
      <c r="I141" s="49"/>
      <c r="J141" s="49">
        <f>H141+I141</f>
        <v>0</v>
      </c>
      <c r="K141" s="49"/>
      <c r="L141" s="49">
        <f>J141+K141</f>
        <v>0</v>
      </c>
    </row>
    <row r="142" spans="1:12" ht="30" customHeight="1">
      <c r="A142" s="82" t="s">
        <v>150</v>
      </c>
      <c r="B142" s="64" t="s">
        <v>112</v>
      </c>
      <c r="C142" s="64" t="s">
        <v>14</v>
      </c>
      <c r="D142" s="64" t="s">
        <v>28</v>
      </c>
      <c r="E142" s="64" t="s">
        <v>105</v>
      </c>
      <c r="F142" s="64" t="s">
        <v>151</v>
      </c>
      <c r="G142" s="22"/>
      <c r="H142" s="49">
        <v>2962.84</v>
      </c>
      <c r="I142" s="49">
        <v>2193.43</v>
      </c>
      <c r="J142" s="49">
        <v>4740.957</v>
      </c>
      <c r="K142" s="49">
        <f>190-200-56+200</f>
        <v>134</v>
      </c>
      <c r="L142" s="49">
        <f>J142+K142</f>
        <v>4874.957</v>
      </c>
    </row>
    <row r="143" spans="1:12" ht="30" customHeight="1">
      <c r="A143" s="79" t="s">
        <v>153</v>
      </c>
      <c r="B143" s="64" t="s">
        <v>112</v>
      </c>
      <c r="C143" s="64" t="s">
        <v>14</v>
      </c>
      <c r="D143" s="64" t="s">
        <v>28</v>
      </c>
      <c r="E143" s="64" t="s">
        <v>105</v>
      </c>
      <c r="F143" s="64" t="s">
        <v>154</v>
      </c>
      <c r="G143" s="22"/>
      <c r="H143" s="49">
        <v>19.2</v>
      </c>
      <c r="I143" s="49"/>
      <c r="J143" s="49">
        <f>SUM(H143:I143)</f>
        <v>19.2</v>
      </c>
      <c r="K143" s="49">
        <f>1.7</f>
        <v>1.7</v>
      </c>
      <c r="L143" s="49">
        <f aca="true" t="shared" si="9" ref="L143:L149">J143+K143</f>
        <v>20.9</v>
      </c>
    </row>
    <row r="144" spans="1:12" ht="30" customHeight="1">
      <c r="A144" s="79" t="s">
        <v>156</v>
      </c>
      <c r="B144" s="64" t="s">
        <v>112</v>
      </c>
      <c r="C144" s="64" t="s">
        <v>14</v>
      </c>
      <c r="D144" s="64" t="s">
        <v>28</v>
      </c>
      <c r="E144" s="64" t="s">
        <v>105</v>
      </c>
      <c r="F144" s="64" t="s">
        <v>157</v>
      </c>
      <c r="G144" s="22"/>
      <c r="H144" s="49"/>
      <c r="I144" s="49">
        <v>48.3</v>
      </c>
      <c r="J144" s="49">
        <f>SUM(H144:I144)</f>
        <v>48.3</v>
      </c>
      <c r="K144" s="49">
        <f>3.5-0.22+200</f>
        <v>203.28</v>
      </c>
      <c r="L144" s="49">
        <f t="shared" si="9"/>
        <v>251.57999999999998</v>
      </c>
    </row>
    <row r="145" spans="1:12" ht="24" customHeight="1">
      <c r="A145" s="79" t="s">
        <v>499</v>
      </c>
      <c r="B145" s="64" t="s">
        <v>112</v>
      </c>
      <c r="C145" s="64" t="s">
        <v>14</v>
      </c>
      <c r="D145" s="64" t="s">
        <v>28</v>
      </c>
      <c r="E145" s="64" t="s">
        <v>105</v>
      </c>
      <c r="F145" s="64" t="s">
        <v>147</v>
      </c>
      <c r="G145" s="22"/>
      <c r="H145" s="49">
        <v>1006.58</v>
      </c>
      <c r="I145" s="49">
        <v>986.82</v>
      </c>
      <c r="J145" s="49">
        <v>1994.2</v>
      </c>
      <c r="K145" s="49">
        <f>-5.2+0.22-1.3154</f>
        <v>-6.295400000000001</v>
      </c>
      <c r="L145" s="49">
        <f t="shared" si="9"/>
        <v>1987.9046</v>
      </c>
    </row>
    <row r="146" spans="1:12" ht="30" customHeight="1">
      <c r="A146" s="79" t="s">
        <v>158</v>
      </c>
      <c r="B146" s="64" t="s">
        <v>112</v>
      </c>
      <c r="C146" s="64" t="s">
        <v>14</v>
      </c>
      <c r="D146" s="64" t="s">
        <v>28</v>
      </c>
      <c r="E146" s="64" t="s">
        <v>105</v>
      </c>
      <c r="F146" s="64" t="s">
        <v>159</v>
      </c>
      <c r="G146" s="22"/>
      <c r="H146" s="49"/>
      <c r="I146" s="49">
        <v>149.6</v>
      </c>
      <c r="J146" s="49">
        <v>56.09</v>
      </c>
      <c r="K146" s="49"/>
      <c r="L146" s="49">
        <f t="shared" si="9"/>
        <v>56.09</v>
      </c>
    </row>
    <row r="147" spans="1:12" ht="17.25" customHeight="1">
      <c r="A147" s="79" t="s">
        <v>160</v>
      </c>
      <c r="B147" s="64" t="s">
        <v>112</v>
      </c>
      <c r="C147" s="64" t="s">
        <v>14</v>
      </c>
      <c r="D147" s="64" t="s">
        <v>28</v>
      </c>
      <c r="E147" s="64" t="s">
        <v>105</v>
      </c>
      <c r="F147" s="64" t="s">
        <v>161</v>
      </c>
      <c r="G147" s="22"/>
      <c r="H147" s="49"/>
      <c r="I147" s="49">
        <v>9</v>
      </c>
      <c r="J147" s="49">
        <v>9.3</v>
      </c>
      <c r="K147" s="49"/>
      <c r="L147" s="49">
        <f t="shared" si="9"/>
        <v>9.3</v>
      </c>
    </row>
    <row r="148" spans="1:12" ht="40.5" customHeight="1" hidden="1">
      <c r="A148" s="79" t="s">
        <v>477</v>
      </c>
      <c r="B148" s="64" t="s">
        <v>112</v>
      </c>
      <c r="C148" s="64" t="s">
        <v>14</v>
      </c>
      <c r="D148" s="64" t="s">
        <v>28</v>
      </c>
      <c r="E148" s="64" t="s">
        <v>162</v>
      </c>
      <c r="F148" s="64"/>
      <c r="G148" s="22"/>
      <c r="H148" s="49">
        <f>H149</f>
        <v>0</v>
      </c>
      <c r="I148" s="49">
        <f>I149</f>
        <v>250</v>
      </c>
      <c r="J148" s="49">
        <f>J149</f>
        <v>0</v>
      </c>
      <c r="K148" s="49">
        <f>K149</f>
        <v>0</v>
      </c>
      <c r="L148" s="49">
        <f>L149</f>
        <v>0</v>
      </c>
    </row>
    <row r="149" spans="1:12" ht="30" customHeight="1" hidden="1">
      <c r="A149" s="79" t="s">
        <v>163</v>
      </c>
      <c r="B149" s="64" t="s">
        <v>112</v>
      </c>
      <c r="C149" s="64" t="s">
        <v>14</v>
      </c>
      <c r="D149" s="64" t="s">
        <v>28</v>
      </c>
      <c r="E149" s="64" t="s">
        <v>162</v>
      </c>
      <c r="F149" s="64" t="s">
        <v>134</v>
      </c>
      <c r="G149" s="22"/>
      <c r="H149" s="49"/>
      <c r="I149" s="49">
        <v>250</v>
      </c>
      <c r="J149" s="49">
        <v>0</v>
      </c>
      <c r="K149" s="49"/>
      <c r="L149" s="49">
        <f t="shared" si="9"/>
        <v>0</v>
      </c>
    </row>
    <row r="150" spans="1:12" ht="15">
      <c r="A150" s="76" t="s">
        <v>62</v>
      </c>
      <c r="B150" s="63" t="s">
        <v>112</v>
      </c>
      <c r="C150" s="63" t="s">
        <v>61</v>
      </c>
      <c r="D150" s="63"/>
      <c r="E150" s="63"/>
      <c r="F150" s="63"/>
      <c r="G150" s="17" t="e">
        <f aca="true" t="shared" si="10" ref="G150:L150">G151+G154</f>
        <v>#REF!</v>
      </c>
      <c r="H150" s="47">
        <f t="shared" si="10"/>
        <v>17598.1</v>
      </c>
      <c r="I150" s="47">
        <f t="shared" si="10"/>
        <v>4482.9</v>
      </c>
      <c r="J150" s="47">
        <f t="shared" si="10"/>
        <v>9110.286</v>
      </c>
      <c r="K150" s="47">
        <f t="shared" si="10"/>
        <v>-137.27034999999998</v>
      </c>
      <c r="L150" s="47">
        <f t="shared" si="10"/>
        <v>8973.015650000001</v>
      </c>
    </row>
    <row r="151" spans="1:12" ht="15" customHeight="1" hidden="1">
      <c r="A151" s="76" t="s">
        <v>164</v>
      </c>
      <c r="B151" s="63" t="s">
        <v>112</v>
      </c>
      <c r="C151" s="63" t="s">
        <v>61</v>
      </c>
      <c r="D151" s="63" t="s">
        <v>8</v>
      </c>
      <c r="E151" s="63"/>
      <c r="F151" s="63"/>
      <c r="G151" s="17" t="e">
        <f aca="true" t="shared" si="11" ref="G151:L152">G152</f>
        <v>#REF!</v>
      </c>
      <c r="H151" s="47">
        <f t="shared" si="11"/>
        <v>0</v>
      </c>
      <c r="I151" s="47">
        <f t="shared" si="11"/>
        <v>0</v>
      </c>
      <c r="J151" s="47">
        <f t="shared" si="11"/>
        <v>0</v>
      </c>
      <c r="K151" s="47">
        <f t="shared" si="11"/>
        <v>0</v>
      </c>
      <c r="L151" s="47">
        <f t="shared" si="11"/>
        <v>0</v>
      </c>
    </row>
    <row r="152" spans="1:12" ht="42.75" customHeight="1" hidden="1">
      <c r="A152" s="77" t="s">
        <v>165</v>
      </c>
      <c r="B152" s="64" t="s">
        <v>112</v>
      </c>
      <c r="C152" s="64" t="s">
        <v>61</v>
      </c>
      <c r="D152" s="64" t="s">
        <v>8</v>
      </c>
      <c r="E152" s="64" t="s">
        <v>166</v>
      </c>
      <c r="F152" s="64"/>
      <c r="G152" s="22" t="e">
        <f>#REF!+G153</f>
        <v>#REF!</v>
      </c>
      <c r="H152" s="49">
        <f>H153</f>
        <v>0</v>
      </c>
      <c r="I152" s="49">
        <f t="shared" si="11"/>
        <v>0</v>
      </c>
      <c r="J152" s="49">
        <f t="shared" si="11"/>
        <v>0</v>
      </c>
      <c r="K152" s="49">
        <f t="shared" si="11"/>
        <v>0</v>
      </c>
      <c r="L152" s="49">
        <f t="shared" si="11"/>
        <v>0</v>
      </c>
    </row>
    <row r="153" spans="1:12" ht="15" customHeight="1" hidden="1">
      <c r="A153" s="77" t="s">
        <v>167</v>
      </c>
      <c r="B153" s="64" t="s">
        <v>112</v>
      </c>
      <c r="C153" s="64" t="s">
        <v>61</v>
      </c>
      <c r="D153" s="64" t="s">
        <v>8</v>
      </c>
      <c r="E153" s="64" t="s">
        <v>169</v>
      </c>
      <c r="F153" s="64" t="s">
        <v>168</v>
      </c>
      <c r="G153" s="22">
        <v>2819.6</v>
      </c>
      <c r="H153" s="49"/>
      <c r="I153" s="49"/>
      <c r="J153" s="49">
        <f>H153+I153</f>
        <v>0</v>
      </c>
      <c r="K153" s="49"/>
      <c r="L153" s="49">
        <f>J153+K153</f>
        <v>0</v>
      </c>
    </row>
    <row r="154" spans="1:12" ht="15">
      <c r="A154" s="76" t="s">
        <v>170</v>
      </c>
      <c r="B154" s="63" t="s">
        <v>112</v>
      </c>
      <c r="C154" s="63" t="s">
        <v>61</v>
      </c>
      <c r="D154" s="63" t="s">
        <v>9</v>
      </c>
      <c r="E154" s="63"/>
      <c r="F154" s="63"/>
      <c r="G154" s="18" t="e">
        <f>#REF!+G162+#REF!+#REF!</f>
        <v>#REF!</v>
      </c>
      <c r="H154" s="47">
        <f>H155+H162</f>
        <v>17598.1</v>
      </c>
      <c r="I154" s="47">
        <f>I155+I162</f>
        <v>4482.9</v>
      </c>
      <c r="J154" s="47">
        <f>J155+J162</f>
        <v>9110.286</v>
      </c>
      <c r="K154" s="47">
        <f>K155+K162</f>
        <v>-137.27034999999998</v>
      </c>
      <c r="L154" s="47">
        <f>L155+L162</f>
        <v>8973.015650000001</v>
      </c>
    </row>
    <row r="155" spans="1:12" ht="15" hidden="1">
      <c r="A155" s="74" t="s">
        <v>245</v>
      </c>
      <c r="B155" s="64" t="s">
        <v>112</v>
      </c>
      <c r="C155" s="64" t="s">
        <v>61</v>
      </c>
      <c r="D155" s="64" t="s">
        <v>9</v>
      </c>
      <c r="E155" s="64" t="s">
        <v>246</v>
      </c>
      <c r="F155" s="64"/>
      <c r="G155" s="21"/>
      <c r="H155" s="49">
        <f>H156+H160</f>
        <v>3432</v>
      </c>
      <c r="I155" s="49">
        <f>I156+I160</f>
        <v>4462</v>
      </c>
      <c r="J155" s="49">
        <f>J156+J160+J158</f>
        <v>0</v>
      </c>
      <c r="K155" s="49">
        <f>K156+K160+K158</f>
        <v>0</v>
      </c>
      <c r="L155" s="49">
        <f>L156+L160+L158</f>
        <v>0</v>
      </c>
    </row>
    <row r="156" spans="1:12" ht="46.5" customHeight="1" hidden="1">
      <c r="A156" s="77" t="s">
        <v>165</v>
      </c>
      <c r="B156" s="64" t="s">
        <v>112</v>
      </c>
      <c r="C156" s="64" t="s">
        <v>61</v>
      </c>
      <c r="D156" s="64" t="s">
        <v>9</v>
      </c>
      <c r="E156" s="64" t="s">
        <v>171</v>
      </c>
      <c r="F156" s="64"/>
      <c r="G156" s="22"/>
      <c r="H156" s="49">
        <f>H157</f>
        <v>3432</v>
      </c>
      <c r="I156" s="49">
        <f>I157</f>
        <v>4337</v>
      </c>
      <c r="J156" s="49">
        <f>J157</f>
        <v>0</v>
      </c>
      <c r="K156" s="49">
        <f>K157</f>
        <v>0</v>
      </c>
      <c r="L156" s="49">
        <f>L157</f>
        <v>0</v>
      </c>
    </row>
    <row r="157" spans="1:12" ht="25.5" customHeight="1" hidden="1">
      <c r="A157" s="77" t="s">
        <v>172</v>
      </c>
      <c r="B157" s="64" t="s">
        <v>112</v>
      </c>
      <c r="C157" s="64" t="s">
        <v>61</v>
      </c>
      <c r="D157" s="64" t="s">
        <v>9</v>
      </c>
      <c r="E157" s="64" t="s">
        <v>171</v>
      </c>
      <c r="F157" s="64" t="s">
        <v>173</v>
      </c>
      <c r="G157" s="22"/>
      <c r="H157" s="49">
        <v>3432</v>
      </c>
      <c r="I157" s="49">
        <v>4337</v>
      </c>
      <c r="J157" s="49">
        <v>0</v>
      </c>
      <c r="K157" s="49"/>
      <c r="L157" s="49">
        <f>J157+K157</f>
        <v>0</v>
      </c>
    </row>
    <row r="158" spans="1:12" ht="25.5" customHeight="1" hidden="1">
      <c r="A158" s="77" t="s">
        <v>165</v>
      </c>
      <c r="B158" s="64" t="s">
        <v>112</v>
      </c>
      <c r="C158" s="64" t="s">
        <v>61</v>
      </c>
      <c r="D158" s="64" t="s">
        <v>9</v>
      </c>
      <c r="E158" s="64" t="s">
        <v>169</v>
      </c>
      <c r="F158" s="64"/>
      <c r="G158" s="22"/>
      <c r="H158" s="49"/>
      <c r="I158" s="49"/>
      <c r="J158" s="49">
        <f>J159</f>
        <v>0</v>
      </c>
      <c r="K158" s="49">
        <f>K159</f>
        <v>0</v>
      </c>
      <c r="L158" s="49">
        <f>L159</f>
        <v>0</v>
      </c>
    </row>
    <row r="159" spans="1:12" ht="25.5" customHeight="1" hidden="1">
      <c r="A159" s="77" t="s">
        <v>172</v>
      </c>
      <c r="B159" s="64" t="s">
        <v>112</v>
      </c>
      <c r="C159" s="64" t="s">
        <v>61</v>
      </c>
      <c r="D159" s="64" t="s">
        <v>9</v>
      </c>
      <c r="E159" s="64" t="s">
        <v>169</v>
      </c>
      <c r="F159" s="64" t="s">
        <v>173</v>
      </c>
      <c r="G159" s="22"/>
      <c r="H159" s="49"/>
      <c r="I159" s="49"/>
      <c r="J159" s="49"/>
      <c r="K159" s="49"/>
      <c r="L159" s="49">
        <f>J159+K159</f>
        <v>0</v>
      </c>
    </row>
    <row r="160" spans="1:12" ht="43.5" customHeight="1" hidden="1">
      <c r="A160" s="79" t="s">
        <v>174</v>
      </c>
      <c r="B160" s="70" t="s">
        <v>112</v>
      </c>
      <c r="C160" s="70" t="s">
        <v>61</v>
      </c>
      <c r="D160" s="70" t="s">
        <v>9</v>
      </c>
      <c r="E160" s="70" t="s">
        <v>175</v>
      </c>
      <c r="F160" s="64"/>
      <c r="G160" s="22"/>
      <c r="H160" s="49">
        <f>H161</f>
        <v>0</v>
      </c>
      <c r="I160" s="49">
        <f>I161</f>
        <v>125</v>
      </c>
      <c r="J160" s="49">
        <f>J161</f>
        <v>0</v>
      </c>
      <c r="K160" s="49">
        <f>K161</f>
        <v>0</v>
      </c>
      <c r="L160" s="49">
        <f>L161</f>
        <v>0</v>
      </c>
    </row>
    <row r="161" spans="1:12" ht="25.5" customHeight="1" hidden="1">
      <c r="A161" s="77" t="s">
        <v>172</v>
      </c>
      <c r="B161" s="70" t="s">
        <v>112</v>
      </c>
      <c r="C161" s="70" t="s">
        <v>61</v>
      </c>
      <c r="D161" s="70" t="s">
        <v>9</v>
      </c>
      <c r="E161" s="70" t="s">
        <v>175</v>
      </c>
      <c r="F161" s="64" t="s">
        <v>173</v>
      </c>
      <c r="G161" s="22"/>
      <c r="H161" s="49"/>
      <c r="I161" s="49">
        <v>125</v>
      </c>
      <c r="J161" s="49">
        <v>0</v>
      </c>
      <c r="K161" s="49"/>
      <c r="L161" s="49">
        <f>J161+K161</f>
        <v>0</v>
      </c>
    </row>
    <row r="162" spans="1:12" ht="18.75" customHeight="1">
      <c r="A162" s="77" t="s">
        <v>101</v>
      </c>
      <c r="B162" s="64" t="s">
        <v>112</v>
      </c>
      <c r="C162" s="64" t="s">
        <v>61</v>
      </c>
      <c r="D162" s="64" t="s">
        <v>9</v>
      </c>
      <c r="E162" s="64" t="s">
        <v>102</v>
      </c>
      <c r="F162" s="64"/>
      <c r="G162" s="21" t="e">
        <f>G166+G163</f>
        <v>#REF!</v>
      </c>
      <c r="H162" s="49">
        <f>H163+H166</f>
        <v>14166.1</v>
      </c>
      <c r="I162" s="49">
        <f>I163+I166</f>
        <v>20.9</v>
      </c>
      <c r="J162" s="49">
        <f>J163+J166</f>
        <v>9110.286</v>
      </c>
      <c r="K162" s="49">
        <f>K163+K166</f>
        <v>-137.27034999999998</v>
      </c>
      <c r="L162" s="49">
        <f>L163+L166</f>
        <v>8973.015650000001</v>
      </c>
    </row>
    <row r="163" spans="1:12" ht="43.5" customHeight="1">
      <c r="A163" s="77" t="s">
        <v>176</v>
      </c>
      <c r="B163" s="64" t="s">
        <v>112</v>
      </c>
      <c r="C163" s="64" t="s">
        <v>61</v>
      </c>
      <c r="D163" s="64" t="s">
        <v>9</v>
      </c>
      <c r="E163" s="64" t="s">
        <v>177</v>
      </c>
      <c r="F163" s="64"/>
      <c r="G163" s="22">
        <f>G164</f>
        <v>1011.2162</v>
      </c>
      <c r="H163" s="49">
        <f>H164+H165</f>
        <v>1372.6</v>
      </c>
      <c r="I163" s="49">
        <f>I164+I165</f>
        <v>17.4</v>
      </c>
      <c r="J163" s="49">
        <f>J164+J165</f>
        <v>1390</v>
      </c>
      <c r="K163" s="49">
        <f>K164+K165</f>
        <v>0</v>
      </c>
      <c r="L163" s="49">
        <f>L164+L165</f>
        <v>1390</v>
      </c>
    </row>
    <row r="164" spans="1:12" ht="15" customHeight="1" hidden="1">
      <c r="A164" s="77" t="s">
        <v>167</v>
      </c>
      <c r="B164" s="64" t="s">
        <v>112</v>
      </c>
      <c r="C164" s="64" t="s">
        <v>61</v>
      </c>
      <c r="D164" s="64" t="s">
        <v>9</v>
      </c>
      <c r="E164" s="64" t="s">
        <v>177</v>
      </c>
      <c r="F164" s="64" t="s">
        <v>168</v>
      </c>
      <c r="G164" s="22">
        <f>11.2162+1000</f>
        <v>1011.2162</v>
      </c>
      <c r="H164" s="49"/>
      <c r="I164" s="49"/>
      <c r="J164" s="49">
        <f>H164+I164</f>
        <v>0</v>
      </c>
      <c r="K164" s="49"/>
      <c r="L164" s="49">
        <f>J164+K164</f>
        <v>0</v>
      </c>
    </row>
    <row r="165" spans="1:12" ht="15" customHeight="1">
      <c r="A165" s="79" t="s">
        <v>178</v>
      </c>
      <c r="B165" s="64" t="s">
        <v>112</v>
      </c>
      <c r="C165" s="64" t="s">
        <v>61</v>
      </c>
      <c r="D165" s="64" t="s">
        <v>9</v>
      </c>
      <c r="E165" s="64" t="s">
        <v>177</v>
      </c>
      <c r="F165" s="64" t="s">
        <v>179</v>
      </c>
      <c r="G165" s="22"/>
      <c r="H165" s="49">
        <v>1372.6</v>
      </c>
      <c r="I165" s="49">
        <v>17.4</v>
      </c>
      <c r="J165" s="49">
        <f>SUM(H165:I165)</f>
        <v>1390</v>
      </c>
      <c r="K165" s="49"/>
      <c r="L165" s="49">
        <f>J165+K165</f>
        <v>1390</v>
      </c>
    </row>
    <row r="166" spans="1:12" ht="23.25">
      <c r="A166" s="77" t="s">
        <v>180</v>
      </c>
      <c r="B166" s="64" t="s">
        <v>112</v>
      </c>
      <c r="C166" s="64" t="s">
        <v>61</v>
      </c>
      <c r="D166" s="64" t="s">
        <v>9</v>
      </c>
      <c r="E166" s="64" t="s">
        <v>181</v>
      </c>
      <c r="F166" s="64"/>
      <c r="G166" s="21" t="e">
        <f>#REF!+G167+G168</f>
        <v>#REF!</v>
      </c>
      <c r="H166" s="49">
        <f>H167+H168+H169+H170</f>
        <v>12793.5</v>
      </c>
      <c r="I166" s="49">
        <f>I167+I168+I169+I170</f>
        <v>3.5</v>
      </c>
      <c r="J166" s="49">
        <f>J167+J168+J169+J170</f>
        <v>7720.286</v>
      </c>
      <c r="K166" s="49">
        <f>K167+K168+K169+K170</f>
        <v>-137.27034999999998</v>
      </c>
      <c r="L166" s="49">
        <f>L167+L168+L169+L170</f>
        <v>7583.01565</v>
      </c>
    </row>
    <row r="167" spans="1:12" ht="45" customHeight="1" hidden="1">
      <c r="A167" s="77" t="s">
        <v>182</v>
      </c>
      <c r="B167" s="64" t="s">
        <v>112</v>
      </c>
      <c r="C167" s="64" t="s">
        <v>61</v>
      </c>
      <c r="D167" s="64" t="s">
        <v>9</v>
      </c>
      <c r="E167" s="64" t="s">
        <v>183</v>
      </c>
      <c r="F167" s="64" t="s">
        <v>97</v>
      </c>
      <c r="G167" s="22">
        <v>-94.76</v>
      </c>
      <c r="H167" s="49">
        <v>0</v>
      </c>
      <c r="I167" s="49"/>
      <c r="J167" s="49">
        <f>H167+I167</f>
        <v>0</v>
      </c>
      <c r="K167" s="49"/>
      <c r="L167" s="49">
        <f>J167+K167</f>
        <v>0</v>
      </c>
    </row>
    <row r="168" spans="1:12" ht="21.75" customHeight="1" hidden="1">
      <c r="A168" s="88" t="s">
        <v>182</v>
      </c>
      <c r="B168" s="64" t="s">
        <v>112</v>
      </c>
      <c r="C168" s="64" t="s">
        <v>61</v>
      </c>
      <c r="D168" s="64" t="s">
        <v>9</v>
      </c>
      <c r="E168" s="64" t="s">
        <v>183</v>
      </c>
      <c r="F168" s="64" t="s">
        <v>168</v>
      </c>
      <c r="G168" s="22">
        <f>94.76+6519.9</f>
        <v>6614.66</v>
      </c>
      <c r="H168" s="49"/>
      <c r="I168" s="49"/>
      <c r="J168" s="49">
        <f>H168+I168</f>
        <v>0</v>
      </c>
      <c r="K168" s="49"/>
      <c r="L168" s="49">
        <f>J168+K168</f>
        <v>0</v>
      </c>
    </row>
    <row r="169" spans="1:12" ht="23.25" customHeight="1">
      <c r="A169" s="79" t="s">
        <v>184</v>
      </c>
      <c r="B169" s="64" t="s">
        <v>112</v>
      </c>
      <c r="C169" s="64" t="s">
        <v>61</v>
      </c>
      <c r="D169" s="64" t="s">
        <v>9</v>
      </c>
      <c r="E169" s="64" t="s">
        <v>183</v>
      </c>
      <c r="F169" s="64" t="s">
        <v>185</v>
      </c>
      <c r="G169" s="22"/>
      <c r="H169" s="49">
        <v>12793.5</v>
      </c>
      <c r="I169" s="49">
        <v>3.5</v>
      </c>
      <c r="J169" s="49">
        <v>7720.286</v>
      </c>
      <c r="K169" s="49">
        <f>-138.58575+1.3154</f>
        <v>-137.27034999999998</v>
      </c>
      <c r="L169" s="49">
        <f>J169+K169</f>
        <v>7583.01565</v>
      </c>
    </row>
    <row r="170" spans="1:12" ht="42.75" customHeight="1" hidden="1" thickBot="1">
      <c r="A170" s="77" t="s">
        <v>172</v>
      </c>
      <c r="B170" s="64" t="s">
        <v>112</v>
      </c>
      <c r="C170" s="64" t="s">
        <v>61</v>
      </c>
      <c r="D170" s="64" t="s">
        <v>9</v>
      </c>
      <c r="E170" s="64" t="s">
        <v>183</v>
      </c>
      <c r="F170" s="64" t="s">
        <v>173</v>
      </c>
      <c r="G170" s="22"/>
      <c r="H170" s="49"/>
      <c r="I170" s="49"/>
      <c r="J170" s="49">
        <f>SUM(H170:I170)</f>
        <v>0</v>
      </c>
      <c r="K170" s="49"/>
      <c r="L170" s="49">
        <f>SUM(J170:K170)</f>
        <v>0</v>
      </c>
    </row>
    <row r="171" spans="1:12" ht="22.5">
      <c r="A171" s="78" t="s">
        <v>186</v>
      </c>
      <c r="B171" s="68" t="s">
        <v>0</v>
      </c>
      <c r="C171" s="68"/>
      <c r="D171" s="68"/>
      <c r="E171" s="68"/>
      <c r="F171" s="68"/>
      <c r="G171" s="38" t="e">
        <f>G172+G218+#REF!+#REF!</f>
        <v>#REF!</v>
      </c>
      <c r="H171" s="48">
        <f>H172+H218+H206+H271+H277+H201+H237+H263+H267+H257</f>
        <v>33974.700000000004</v>
      </c>
      <c r="I171" s="48">
        <f>I172+I218+I206+I271+I277+I201+I237+I263+I267+I257</f>
        <v>10878.17</v>
      </c>
      <c r="J171" s="48">
        <f>J172+J218+J206+J271+J277+J201+J237+J263+J267+J257</f>
        <v>59429.253000000004</v>
      </c>
      <c r="K171" s="48">
        <f>K172+K218+K206+K271+K277+K201+K237+K263+K267+K257</f>
        <v>-706.3642800000001</v>
      </c>
      <c r="L171" s="48">
        <f>L172+L218+L206+L271+L277+L201+L237+L263+L267+L257</f>
        <v>58722.88872000001</v>
      </c>
    </row>
    <row r="172" spans="1:12" ht="15">
      <c r="A172" s="76" t="s">
        <v>187</v>
      </c>
      <c r="B172" s="63" t="s">
        <v>0</v>
      </c>
      <c r="C172" s="63" t="s">
        <v>6</v>
      </c>
      <c r="D172" s="64"/>
      <c r="E172" s="64"/>
      <c r="F172" s="64"/>
      <c r="G172" s="17" t="e">
        <f>G179+#REF!+#REF!+G201+G173</f>
        <v>#REF!</v>
      </c>
      <c r="H172" s="47">
        <f>H173+H179+H190+H195</f>
        <v>4239.160000000001</v>
      </c>
      <c r="I172" s="47">
        <f>I173+I179+I190+I195</f>
        <v>434.01</v>
      </c>
      <c r="J172" s="47">
        <f>J173+J179+J190+J195</f>
        <v>4758.17</v>
      </c>
      <c r="K172" s="47">
        <f>K173+K179+K190+K195</f>
        <v>-9.300000000000004</v>
      </c>
      <c r="L172" s="47">
        <f>L173+L179+L190+L195</f>
        <v>4748.87</v>
      </c>
    </row>
    <row r="173" spans="1:12" ht="43.5">
      <c r="A173" s="89" t="s">
        <v>188</v>
      </c>
      <c r="B173" s="63" t="s">
        <v>0</v>
      </c>
      <c r="C173" s="63" t="s">
        <v>6</v>
      </c>
      <c r="D173" s="63" t="s">
        <v>9</v>
      </c>
      <c r="E173" s="64"/>
      <c r="F173" s="64"/>
      <c r="G173" s="17">
        <f>G174</f>
        <v>0.4</v>
      </c>
      <c r="H173" s="47">
        <f>H174+H176</f>
        <v>726.34</v>
      </c>
      <c r="I173" s="47">
        <f>I174+I176</f>
        <v>54.86</v>
      </c>
      <c r="J173" s="47">
        <f>J174+J176</f>
        <v>701.2</v>
      </c>
      <c r="K173" s="47">
        <f>K174+K176</f>
        <v>-25.264000000000003</v>
      </c>
      <c r="L173" s="47">
        <f>L174+L176</f>
        <v>675.936</v>
      </c>
    </row>
    <row r="174" spans="1:12" ht="32.25" customHeight="1" hidden="1">
      <c r="A174" s="77" t="s">
        <v>189</v>
      </c>
      <c r="B174" s="64" t="s">
        <v>0</v>
      </c>
      <c r="C174" s="64" t="s">
        <v>6</v>
      </c>
      <c r="D174" s="64" t="s">
        <v>9</v>
      </c>
      <c r="E174" s="64" t="s">
        <v>190</v>
      </c>
      <c r="F174" s="64"/>
      <c r="G174" s="17">
        <f>G175</f>
        <v>0.4</v>
      </c>
      <c r="H174" s="49">
        <f>H175</f>
        <v>0</v>
      </c>
      <c r="I174" s="49">
        <f>I175</f>
        <v>0</v>
      </c>
      <c r="J174" s="49">
        <f>J175</f>
        <v>0</v>
      </c>
      <c r="K174" s="49">
        <f>K175</f>
        <v>0</v>
      </c>
      <c r="L174" s="49">
        <f>L175</f>
        <v>0</v>
      </c>
    </row>
    <row r="175" spans="1:12" ht="15" customHeight="1" hidden="1">
      <c r="A175" s="90" t="s">
        <v>96</v>
      </c>
      <c r="B175" s="64" t="s">
        <v>0</v>
      </c>
      <c r="C175" s="64" t="s">
        <v>6</v>
      </c>
      <c r="D175" s="64" t="s">
        <v>9</v>
      </c>
      <c r="E175" s="64" t="s">
        <v>190</v>
      </c>
      <c r="F175" s="64" t="s">
        <v>97</v>
      </c>
      <c r="G175" s="17">
        <v>0.4</v>
      </c>
      <c r="H175" s="49"/>
      <c r="I175" s="47"/>
      <c r="J175" s="49">
        <f>H175+I175</f>
        <v>0</v>
      </c>
      <c r="K175" s="47"/>
      <c r="L175" s="49">
        <f>J175+K175</f>
        <v>0</v>
      </c>
    </row>
    <row r="176" spans="1:12" ht="45.75">
      <c r="A176" s="91" t="s">
        <v>192</v>
      </c>
      <c r="B176" s="64" t="s">
        <v>0</v>
      </c>
      <c r="C176" s="64" t="s">
        <v>6</v>
      </c>
      <c r="D176" s="64" t="s">
        <v>9</v>
      </c>
      <c r="E176" s="64" t="s">
        <v>115</v>
      </c>
      <c r="F176" s="64"/>
      <c r="G176" s="17"/>
      <c r="H176" s="49">
        <f>H177+H178</f>
        <v>726.34</v>
      </c>
      <c r="I176" s="49">
        <f>I177+I178</f>
        <v>54.86</v>
      </c>
      <c r="J176" s="49">
        <f>J177+J178</f>
        <v>701.2</v>
      </c>
      <c r="K176" s="49">
        <f>K177+K178</f>
        <v>-25.264000000000003</v>
      </c>
      <c r="L176" s="49">
        <f>L177+L178</f>
        <v>675.936</v>
      </c>
    </row>
    <row r="177" spans="1:12" ht="22.5">
      <c r="A177" s="79" t="s">
        <v>150</v>
      </c>
      <c r="B177" s="64" t="s">
        <v>0</v>
      </c>
      <c r="C177" s="64" t="s">
        <v>6</v>
      </c>
      <c r="D177" s="64" t="s">
        <v>9</v>
      </c>
      <c r="E177" s="64" t="s">
        <v>117</v>
      </c>
      <c r="F177" s="64" t="s">
        <v>151</v>
      </c>
      <c r="G177" s="17"/>
      <c r="H177" s="49">
        <v>726.34</v>
      </c>
      <c r="I177" s="49">
        <v>54.86</v>
      </c>
      <c r="J177" s="49">
        <v>701.2</v>
      </c>
      <c r="K177" s="49">
        <f>-23.013-4.8+2.549</f>
        <v>-25.264000000000003</v>
      </c>
      <c r="L177" s="49">
        <f>J177+K177</f>
        <v>675.936</v>
      </c>
    </row>
    <row r="178" spans="1:12" ht="15" customHeight="1" hidden="1">
      <c r="A178" s="90" t="s">
        <v>94</v>
      </c>
      <c r="B178" s="64" t="s">
        <v>0</v>
      </c>
      <c r="C178" s="64" t="s">
        <v>6</v>
      </c>
      <c r="D178" s="64" t="s">
        <v>9</v>
      </c>
      <c r="E178" s="64" t="s">
        <v>117</v>
      </c>
      <c r="F178" s="64" t="s">
        <v>93</v>
      </c>
      <c r="G178" s="17"/>
      <c r="H178" s="49"/>
      <c r="I178" s="47"/>
      <c r="J178" s="49">
        <f>H178+I178</f>
        <v>0</v>
      </c>
      <c r="K178" s="47"/>
      <c r="L178" s="49">
        <f>J178+K178</f>
        <v>0</v>
      </c>
    </row>
    <row r="179" spans="1:12" s="27" customFormat="1" ht="32.25">
      <c r="A179" s="92" t="s">
        <v>191</v>
      </c>
      <c r="B179" s="63" t="s">
        <v>0</v>
      </c>
      <c r="C179" s="63" t="s">
        <v>6</v>
      </c>
      <c r="D179" s="63" t="s">
        <v>12</v>
      </c>
      <c r="E179" s="63"/>
      <c r="F179" s="63"/>
      <c r="G179" s="17" t="e">
        <f>G180</f>
        <v>#REF!</v>
      </c>
      <c r="H179" s="47">
        <f>H180+H188</f>
        <v>2992.2200000000003</v>
      </c>
      <c r="I179" s="47">
        <f>I180+I188</f>
        <v>786.25</v>
      </c>
      <c r="J179" s="47">
        <f>J180+J188</f>
        <v>3996.9700000000003</v>
      </c>
      <c r="K179" s="47">
        <f>K180+K188</f>
        <v>75.964</v>
      </c>
      <c r="L179" s="47">
        <f>L180+L188</f>
        <v>4072.9339999999997</v>
      </c>
    </row>
    <row r="180" spans="1:12" ht="45.75">
      <c r="A180" s="91" t="s">
        <v>192</v>
      </c>
      <c r="B180" s="64" t="s">
        <v>0</v>
      </c>
      <c r="C180" s="64" t="s">
        <v>6</v>
      </c>
      <c r="D180" s="64" t="s">
        <v>12</v>
      </c>
      <c r="E180" s="64" t="s">
        <v>115</v>
      </c>
      <c r="F180" s="64"/>
      <c r="G180" s="22" t="e">
        <f>#REF!+#REF!</f>
        <v>#REF!</v>
      </c>
      <c r="H180" s="49">
        <f>H181+H182+H183+H184+H185+H186+H187</f>
        <v>2992.2200000000003</v>
      </c>
      <c r="I180" s="49">
        <f>I181+I182+I183+I184+I185+I186+I187</f>
        <v>786.25</v>
      </c>
      <c r="J180" s="49">
        <f>J181+J182+J183+J184+J185+J186+J187</f>
        <v>3996.9700000000003</v>
      </c>
      <c r="K180" s="49">
        <f>K181+K182+K183+K184+K185+K186+K187</f>
        <v>75.964</v>
      </c>
      <c r="L180" s="49">
        <f>L181+L182+L183+L184+L185+L186+L187</f>
        <v>4072.9339999999997</v>
      </c>
    </row>
    <row r="181" spans="1:12" ht="22.5">
      <c r="A181" s="79" t="s">
        <v>150</v>
      </c>
      <c r="B181" s="64" t="s">
        <v>0</v>
      </c>
      <c r="C181" s="64" t="s">
        <v>6</v>
      </c>
      <c r="D181" s="64" t="s">
        <v>12</v>
      </c>
      <c r="E181" s="64" t="s">
        <v>117</v>
      </c>
      <c r="F181" s="64" t="s">
        <v>151</v>
      </c>
      <c r="G181" s="22"/>
      <c r="H181" s="49">
        <v>2490.82</v>
      </c>
      <c r="I181" s="49">
        <v>540.86</v>
      </c>
      <c r="J181" s="49">
        <f>SUM(H181:I181)</f>
        <v>3031.6800000000003</v>
      </c>
      <c r="K181" s="49">
        <f>131.567+6-4+8.07923</f>
        <v>141.64623</v>
      </c>
      <c r="L181" s="49">
        <f>J181+K181</f>
        <v>3173.32623</v>
      </c>
    </row>
    <row r="182" spans="1:12" ht="24" customHeight="1">
      <c r="A182" s="79" t="s">
        <v>153</v>
      </c>
      <c r="B182" s="64" t="s">
        <v>0</v>
      </c>
      <c r="C182" s="64" t="s">
        <v>6</v>
      </c>
      <c r="D182" s="64" t="s">
        <v>12</v>
      </c>
      <c r="E182" s="64" t="s">
        <v>117</v>
      </c>
      <c r="F182" s="64" t="s">
        <v>154</v>
      </c>
      <c r="G182" s="22"/>
      <c r="H182" s="49">
        <v>27</v>
      </c>
      <c r="I182" s="49">
        <v>5.8</v>
      </c>
      <c r="J182" s="49">
        <f>SUM(H182:I182)</f>
        <v>32.8</v>
      </c>
      <c r="K182" s="49">
        <f>-10-6-0.7</f>
        <v>-16.7</v>
      </c>
      <c r="L182" s="49">
        <f aca="true" t="shared" si="12" ref="L182:L187">J182+K182</f>
        <v>16.099999999999998</v>
      </c>
    </row>
    <row r="183" spans="1:12" ht="23.25" customHeight="1">
      <c r="A183" s="79" t="s">
        <v>156</v>
      </c>
      <c r="B183" s="64" t="s">
        <v>0</v>
      </c>
      <c r="C183" s="64" t="s">
        <v>6</v>
      </c>
      <c r="D183" s="64" t="s">
        <v>12</v>
      </c>
      <c r="E183" s="64" t="s">
        <v>117</v>
      </c>
      <c r="F183" s="64" t="s">
        <v>157</v>
      </c>
      <c r="G183" s="22"/>
      <c r="H183" s="49">
        <v>200</v>
      </c>
      <c r="I183" s="49">
        <v>8.7</v>
      </c>
      <c r="J183" s="49">
        <f>SUM(H183:I183)</f>
        <v>208.7</v>
      </c>
      <c r="K183" s="49">
        <f>-5+12.0484</f>
        <v>7.048400000000001</v>
      </c>
      <c r="L183" s="49">
        <f t="shared" si="12"/>
        <v>215.7484</v>
      </c>
    </row>
    <row r="184" spans="1:12" ht="27" customHeight="1">
      <c r="A184" s="79" t="s">
        <v>499</v>
      </c>
      <c r="B184" s="64" t="s">
        <v>0</v>
      </c>
      <c r="C184" s="64" t="s">
        <v>6</v>
      </c>
      <c r="D184" s="64" t="s">
        <v>12</v>
      </c>
      <c r="E184" s="64" t="s">
        <v>117</v>
      </c>
      <c r="F184" s="64" t="s">
        <v>147</v>
      </c>
      <c r="G184" s="22"/>
      <c r="H184" s="49">
        <v>264.4</v>
      </c>
      <c r="I184" s="49">
        <v>225.39</v>
      </c>
      <c r="J184" s="49">
        <v>708.29</v>
      </c>
      <c r="K184" s="49">
        <f>19.446-69.9024</f>
        <v>-50.4564</v>
      </c>
      <c r="L184" s="49">
        <f t="shared" si="12"/>
        <v>657.8335999999999</v>
      </c>
    </row>
    <row r="185" spans="1:12" ht="15" customHeight="1" hidden="1">
      <c r="A185" s="90" t="s">
        <v>94</v>
      </c>
      <c r="B185" s="64" t="s">
        <v>0</v>
      </c>
      <c r="C185" s="64" t="s">
        <v>6</v>
      </c>
      <c r="D185" s="64" t="s">
        <v>12</v>
      </c>
      <c r="E185" s="64" t="s">
        <v>117</v>
      </c>
      <c r="F185" s="64" t="s">
        <v>93</v>
      </c>
      <c r="G185" s="22">
        <f>50+360+80+3.47-0.01-80-3.47+2.72</f>
        <v>412.71000000000004</v>
      </c>
      <c r="H185" s="49"/>
      <c r="I185" s="49"/>
      <c r="J185" s="49">
        <f>H185+I185</f>
        <v>0</v>
      </c>
      <c r="K185" s="49"/>
      <c r="L185" s="49">
        <f t="shared" si="12"/>
        <v>0</v>
      </c>
    </row>
    <row r="186" spans="1:12" ht="23.25" customHeight="1">
      <c r="A186" s="79" t="s">
        <v>158</v>
      </c>
      <c r="B186" s="64" t="s">
        <v>0</v>
      </c>
      <c r="C186" s="64" t="s">
        <v>6</v>
      </c>
      <c r="D186" s="64" t="s">
        <v>12</v>
      </c>
      <c r="E186" s="64" t="s">
        <v>117</v>
      </c>
      <c r="F186" s="64" t="s">
        <v>159</v>
      </c>
      <c r="G186" s="22"/>
      <c r="H186" s="49">
        <v>5</v>
      </c>
      <c r="I186" s="49">
        <v>0.5</v>
      </c>
      <c r="J186" s="49">
        <v>8</v>
      </c>
      <c r="K186" s="49">
        <f>-0.69994</f>
        <v>-0.69994</v>
      </c>
      <c r="L186" s="49">
        <f t="shared" si="12"/>
        <v>7.30006</v>
      </c>
    </row>
    <row r="187" spans="1:12" ht="15">
      <c r="A187" s="79" t="s">
        <v>160</v>
      </c>
      <c r="B187" s="64" t="s">
        <v>0</v>
      </c>
      <c r="C187" s="64" t="s">
        <v>6</v>
      </c>
      <c r="D187" s="64" t="s">
        <v>12</v>
      </c>
      <c r="E187" s="64" t="s">
        <v>117</v>
      </c>
      <c r="F187" s="64" t="s">
        <v>161</v>
      </c>
      <c r="G187" s="22"/>
      <c r="H187" s="49">
        <v>5</v>
      </c>
      <c r="I187" s="49">
        <v>5</v>
      </c>
      <c r="J187" s="49">
        <v>7.5</v>
      </c>
      <c r="K187" s="49">
        <f>-4.446-0.42829</f>
        <v>-4.874289999999999</v>
      </c>
      <c r="L187" s="49">
        <f t="shared" si="12"/>
        <v>2.6257100000000007</v>
      </c>
    </row>
    <row r="188" spans="1:12" ht="15" customHeight="1" hidden="1">
      <c r="A188" s="90" t="s">
        <v>435</v>
      </c>
      <c r="B188" s="64" t="s">
        <v>0</v>
      </c>
      <c r="C188" s="64" t="s">
        <v>6</v>
      </c>
      <c r="D188" s="64" t="s">
        <v>12</v>
      </c>
      <c r="E188" s="64" t="s">
        <v>427</v>
      </c>
      <c r="F188" s="64"/>
      <c r="G188" s="22"/>
      <c r="H188" s="49">
        <f>H189</f>
        <v>0</v>
      </c>
      <c r="I188" s="49">
        <f>I189</f>
        <v>0</v>
      </c>
      <c r="J188" s="49">
        <f>J189</f>
        <v>0</v>
      </c>
      <c r="K188" s="49">
        <f>K189</f>
        <v>0</v>
      </c>
      <c r="L188" s="49">
        <f>L189</f>
        <v>0</v>
      </c>
    </row>
    <row r="189" spans="1:12" ht="15" customHeight="1" hidden="1">
      <c r="A189" s="90" t="s">
        <v>436</v>
      </c>
      <c r="B189" s="64" t="s">
        <v>0</v>
      </c>
      <c r="C189" s="64" t="s">
        <v>6</v>
      </c>
      <c r="D189" s="64" t="s">
        <v>12</v>
      </c>
      <c r="E189" s="64" t="s">
        <v>427</v>
      </c>
      <c r="F189" s="64" t="s">
        <v>431</v>
      </c>
      <c r="G189" s="22"/>
      <c r="H189" s="49"/>
      <c r="I189" s="49"/>
      <c r="J189" s="49">
        <f>H189+I189</f>
        <v>0</v>
      </c>
      <c r="K189" s="49"/>
      <c r="L189" s="49">
        <f>J189+K189</f>
        <v>0</v>
      </c>
    </row>
    <row r="190" spans="1:12" ht="15">
      <c r="A190" s="91" t="s">
        <v>15</v>
      </c>
      <c r="B190" s="63" t="s">
        <v>0</v>
      </c>
      <c r="C190" s="63" t="s">
        <v>6</v>
      </c>
      <c r="D190" s="63" t="s">
        <v>16</v>
      </c>
      <c r="E190" s="63"/>
      <c r="F190" s="63"/>
      <c r="G190" s="22"/>
      <c r="H190" s="47">
        <f aca="true" t="shared" si="13" ref="H190:L191">H191</f>
        <v>333</v>
      </c>
      <c r="I190" s="47">
        <f t="shared" si="13"/>
        <v>-220</v>
      </c>
      <c r="J190" s="47">
        <f t="shared" si="13"/>
        <v>60</v>
      </c>
      <c r="K190" s="47">
        <f t="shared" si="13"/>
        <v>-60</v>
      </c>
      <c r="L190" s="47">
        <f t="shared" si="13"/>
        <v>0</v>
      </c>
    </row>
    <row r="191" spans="1:12" ht="15">
      <c r="A191" s="91" t="s">
        <v>15</v>
      </c>
      <c r="B191" s="64" t="s">
        <v>0</v>
      </c>
      <c r="C191" s="64" t="s">
        <v>6</v>
      </c>
      <c r="D191" s="64" t="s">
        <v>16</v>
      </c>
      <c r="E191" s="64" t="s">
        <v>198</v>
      </c>
      <c r="F191" s="64"/>
      <c r="G191" s="22"/>
      <c r="H191" s="49">
        <f t="shared" si="13"/>
        <v>333</v>
      </c>
      <c r="I191" s="49">
        <f t="shared" si="13"/>
        <v>-220</v>
      </c>
      <c r="J191" s="49">
        <f t="shared" si="13"/>
        <v>60</v>
      </c>
      <c r="K191" s="49">
        <f t="shared" si="13"/>
        <v>-60</v>
      </c>
      <c r="L191" s="49">
        <f t="shared" si="13"/>
        <v>0</v>
      </c>
    </row>
    <row r="192" spans="1:12" ht="15">
      <c r="A192" s="91" t="s">
        <v>199</v>
      </c>
      <c r="B192" s="64" t="s">
        <v>0</v>
      </c>
      <c r="C192" s="64" t="s">
        <v>6</v>
      </c>
      <c r="D192" s="64" t="s">
        <v>16</v>
      </c>
      <c r="E192" s="64" t="s">
        <v>200</v>
      </c>
      <c r="F192" s="64"/>
      <c r="G192" s="22"/>
      <c r="H192" s="49">
        <f>H193+H194</f>
        <v>333</v>
      </c>
      <c r="I192" s="49">
        <f>I193+I194</f>
        <v>-220</v>
      </c>
      <c r="J192" s="49">
        <f>J193+J194</f>
        <v>60</v>
      </c>
      <c r="K192" s="49">
        <f>K193+K194</f>
        <v>-60</v>
      </c>
      <c r="L192" s="49">
        <f>L193+L194</f>
        <v>0</v>
      </c>
    </row>
    <row r="193" spans="1:12" ht="15" customHeight="1" hidden="1">
      <c r="A193" s="91" t="s">
        <v>196</v>
      </c>
      <c r="B193" s="64" t="s">
        <v>0</v>
      </c>
      <c r="C193" s="64" t="s">
        <v>6</v>
      </c>
      <c r="D193" s="64" t="s">
        <v>16</v>
      </c>
      <c r="E193" s="64" t="s">
        <v>200</v>
      </c>
      <c r="F193" s="64" t="s">
        <v>197</v>
      </c>
      <c r="G193" s="22"/>
      <c r="H193" s="49"/>
      <c r="I193" s="49"/>
      <c r="J193" s="49">
        <f>H193+I193</f>
        <v>0</v>
      </c>
      <c r="K193" s="49"/>
      <c r="L193" s="49">
        <f>J193+K193</f>
        <v>0</v>
      </c>
    </row>
    <row r="194" spans="1:12" ht="15">
      <c r="A194" s="91" t="s">
        <v>201</v>
      </c>
      <c r="B194" s="64" t="s">
        <v>0</v>
      </c>
      <c r="C194" s="64" t="s">
        <v>6</v>
      </c>
      <c r="D194" s="64" t="s">
        <v>16</v>
      </c>
      <c r="E194" s="64" t="s">
        <v>200</v>
      </c>
      <c r="F194" s="64" t="s">
        <v>202</v>
      </c>
      <c r="G194" s="22"/>
      <c r="H194" s="49">
        <v>333</v>
      </c>
      <c r="I194" s="49">
        <v>-220</v>
      </c>
      <c r="J194" s="49">
        <v>60</v>
      </c>
      <c r="K194" s="49">
        <f>-60</f>
        <v>-60</v>
      </c>
      <c r="L194" s="49">
        <f>J194+K194</f>
        <v>0</v>
      </c>
    </row>
    <row r="195" spans="1:12" ht="15" hidden="1">
      <c r="A195" s="93" t="s">
        <v>19</v>
      </c>
      <c r="B195" s="71" t="s">
        <v>0</v>
      </c>
      <c r="C195" s="71" t="s">
        <v>6</v>
      </c>
      <c r="D195" s="71" t="s">
        <v>18</v>
      </c>
      <c r="E195" s="64"/>
      <c r="F195" s="64"/>
      <c r="G195" s="22"/>
      <c r="H195" s="49">
        <f>H196</f>
        <v>187.6</v>
      </c>
      <c r="I195" s="49">
        <f>I196</f>
        <v>-187.1</v>
      </c>
      <c r="J195" s="49">
        <f>J196</f>
        <v>0</v>
      </c>
      <c r="K195" s="49">
        <f>K196</f>
        <v>0</v>
      </c>
      <c r="L195" s="49">
        <f>L196</f>
        <v>0</v>
      </c>
    </row>
    <row r="196" spans="1:12" ht="22.5" hidden="1">
      <c r="A196" s="128" t="s">
        <v>250</v>
      </c>
      <c r="B196" s="71" t="s">
        <v>0</v>
      </c>
      <c r="C196" s="71" t="s">
        <v>6</v>
      </c>
      <c r="D196" s="71" t="s">
        <v>18</v>
      </c>
      <c r="E196" s="64" t="s">
        <v>361</v>
      </c>
      <c r="F196" s="64"/>
      <c r="G196" s="22"/>
      <c r="H196" s="49">
        <f>H197+H199</f>
        <v>187.6</v>
      </c>
      <c r="I196" s="49">
        <f>I197+I199</f>
        <v>-187.1</v>
      </c>
      <c r="J196" s="49">
        <f>J197+J199</f>
        <v>0</v>
      </c>
      <c r="K196" s="49">
        <f>K197+K199</f>
        <v>0</v>
      </c>
      <c r="L196" s="49">
        <f>L197+L199</f>
        <v>0</v>
      </c>
    </row>
    <row r="197" spans="1:12" ht="34.5" hidden="1">
      <c r="A197" s="77" t="s">
        <v>189</v>
      </c>
      <c r="B197" s="64" t="s">
        <v>0</v>
      </c>
      <c r="C197" s="64" t="s">
        <v>6</v>
      </c>
      <c r="D197" s="64" t="s">
        <v>18</v>
      </c>
      <c r="E197" s="64" t="s">
        <v>190</v>
      </c>
      <c r="F197" s="64"/>
      <c r="G197" s="17">
        <f aca="true" t="shared" si="14" ref="G197:L197">G198</f>
        <v>0</v>
      </c>
      <c r="H197" s="49">
        <f t="shared" si="14"/>
        <v>0.5</v>
      </c>
      <c r="I197" s="49">
        <f t="shared" si="14"/>
        <v>0</v>
      </c>
      <c r="J197" s="49">
        <f t="shared" si="14"/>
        <v>0</v>
      </c>
      <c r="K197" s="49">
        <f t="shared" si="14"/>
        <v>0</v>
      </c>
      <c r="L197" s="49">
        <f t="shared" si="14"/>
        <v>0</v>
      </c>
    </row>
    <row r="198" spans="1:12" ht="33.75" hidden="1">
      <c r="A198" s="79" t="s">
        <v>499</v>
      </c>
      <c r="B198" s="64" t="s">
        <v>0</v>
      </c>
      <c r="C198" s="64" t="s">
        <v>6</v>
      </c>
      <c r="D198" s="64" t="s">
        <v>18</v>
      </c>
      <c r="E198" s="64" t="s">
        <v>190</v>
      </c>
      <c r="F198" s="64" t="s">
        <v>147</v>
      </c>
      <c r="G198" s="17"/>
      <c r="H198" s="49">
        <v>0.5</v>
      </c>
      <c r="I198" s="49"/>
      <c r="J198" s="49">
        <v>0</v>
      </c>
      <c r="K198" s="49"/>
      <c r="L198" s="49">
        <f>J198+K198</f>
        <v>0</v>
      </c>
    </row>
    <row r="199" spans="1:12" ht="56.25" hidden="1">
      <c r="A199" s="94" t="s">
        <v>203</v>
      </c>
      <c r="B199" s="70" t="s">
        <v>0</v>
      </c>
      <c r="C199" s="70" t="s">
        <v>6</v>
      </c>
      <c r="D199" s="70" t="s">
        <v>18</v>
      </c>
      <c r="E199" s="70" t="s">
        <v>204</v>
      </c>
      <c r="F199" s="64"/>
      <c r="G199" s="22"/>
      <c r="H199" s="49">
        <f>H200</f>
        <v>187.1</v>
      </c>
      <c r="I199" s="49">
        <f>I200</f>
        <v>-187.1</v>
      </c>
      <c r="J199" s="49">
        <f>J200</f>
        <v>0</v>
      </c>
      <c r="K199" s="49">
        <f>K200</f>
        <v>0</v>
      </c>
      <c r="L199" s="49">
        <f>L200</f>
        <v>0</v>
      </c>
    </row>
    <row r="200" spans="1:12" ht="15" customHeight="1" hidden="1">
      <c r="A200" s="79" t="s">
        <v>150</v>
      </c>
      <c r="B200" s="70" t="s">
        <v>0</v>
      </c>
      <c r="C200" s="70" t="s">
        <v>6</v>
      </c>
      <c r="D200" s="70" t="s">
        <v>18</v>
      </c>
      <c r="E200" s="70" t="s">
        <v>204</v>
      </c>
      <c r="F200" s="64" t="s">
        <v>151</v>
      </c>
      <c r="G200" s="22"/>
      <c r="H200" s="49">
        <v>187.1</v>
      </c>
      <c r="I200" s="49">
        <v>-187.1</v>
      </c>
      <c r="J200" s="49">
        <f>H200+I200</f>
        <v>0</v>
      </c>
      <c r="K200" s="49"/>
      <c r="L200" s="49">
        <f>J200+K200</f>
        <v>0</v>
      </c>
    </row>
    <row r="201" spans="1:13" s="27" customFormat="1" ht="14.25" customHeight="1">
      <c r="A201" s="92" t="s">
        <v>21</v>
      </c>
      <c r="B201" s="63" t="s">
        <v>0</v>
      </c>
      <c r="C201" s="63" t="s">
        <v>7</v>
      </c>
      <c r="D201" s="63" t="s">
        <v>206</v>
      </c>
      <c r="E201" s="63"/>
      <c r="F201" s="63"/>
      <c r="G201" s="17">
        <f aca="true" t="shared" si="15" ref="G201:L203">G202</f>
        <v>-1000</v>
      </c>
      <c r="H201" s="47">
        <f t="shared" si="15"/>
        <v>564.6</v>
      </c>
      <c r="I201" s="47">
        <f t="shared" si="15"/>
        <v>21.7</v>
      </c>
      <c r="J201" s="47">
        <f t="shared" si="15"/>
        <v>531.9</v>
      </c>
      <c r="K201" s="47">
        <f t="shared" si="15"/>
        <v>0</v>
      </c>
      <c r="L201" s="47">
        <f t="shared" si="15"/>
        <v>531.9</v>
      </c>
      <c r="M201" s="59"/>
    </row>
    <row r="202" spans="1:12" ht="14.25" customHeight="1">
      <c r="A202" s="77" t="s">
        <v>207</v>
      </c>
      <c r="B202" s="64" t="s">
        <v>0</v>
      </c>
      <c r="C202" s="64" t="s">
        <v>7</v>
      </c>
      <c r="D202" s="64" t="s">
        <v>8</v>
      </c>
      <c r="E202" s="64"/>
      <c r="F202" s="64"/>
      <c r="G202" s="22">
        <f t="shared" si="15"/>
        <v>-1000</v>
      </c>
      <c r="H202" s="49">
        <f t="shared" si="15"/>
        <v>564.6</v>
      </c>
      <c r="I202" s="49">
        <f t="shared" si="15"/>
        <v>21.7</v>
      </c>
      <c r="J202" s="49">
        <f t="shared" si="15"/>
        <v>531.9</v>
      </c>
      <c r="K202" s="49">
        <f t="shared" si="15"/>
        <v>0</v>
      </c>
      <c r="L202" s="49">
        <f t="shared" si="15"/>
        <v>531.9</v>
      </c>
    </row>
    <row r="203" spans="1:12" ht="27.75" customHeight="1">
      <c r="A203" s="77" t="s">
        <v>208</v>
      </c>
      <c r="B203" s="64" t="s">
        <v>0</v>
      </c>
      <c r="C203" s="64" t="s">
        <v>7</v>
      </c>
      <c r="D203" s="64" t="s">
        <v>8</v>
      </c>
      <c r="E203" s="64" t="s">
        <v>209</v>
      </c>
      <c r="F203" s="64"/>
      <c r="G203" s="22">
        <f t="shared" si="15"/>
        <v>-1000</v>
      </c>
      <c r="H203" s="49">
        <f>H204+H205</f>
        <v>564.6</v>
      </c>
      <c r="I203" s="49">
        <f>I204+I205</f>
        <v>21.7</v>
      </c>
      <c r="J203" s="49">
        <f>J204+J205</f>
        <v>531.9</v>
      </c>
      <c r="K203" s="49">
        <f>K204+K205</f>
        <v>0</v>
      </c>
      <c r="L203" s="49">
        <f>L204+L205</f>
        <v>531.9</v>
      </c>
    </row>
    <row r="204" spans="1:12" ht="15" customHeight="1" hidden="1">
      <c r="A204" s="90" t="s">
        <v>210</v>
      </c>
      <c r="B204" s="64" t="s">
        <v>0</v>
      </c>
      <c r="C204" s="64" t="s">
        <v>7</v>
      </c>
      <c r="D204" s="64" t="s">
        <v>8</v>
      </c>
      <c r="E204" s="64" t="s">
        <v>209</v>
      </c>
      <c r="F204" s="64" t="s">
        <v>211</v>
      </c>
      <c r="G204" s="22">
        <v>-1000</v>
      </c>
      <c r="H204" s="49"/>
      <c r="I204" s="49"/>
      <c r="J204" s="49">
        <f>H204+I204</f>
        <v>0</v>
      </c>
      <c r="K204" s="49"/>
      <c r="L204" s="49">
        <f>J204+K204</f>
        <v>0</v>
      </c>
    </row>
    <row r="205" spans="1:12" ht="15">
      <c r="A205" s="95" t="s">
        <v>205</v>
      </c>
      <c r="B205" s="64" t="s">
        <v>0</v>
      </c>
      <c r="C205" s="64" t="s">
        <v>7</v>
      </c>
      <c r="D205" s="64" t="s">
        <v>8</v>
      </c>
      <c r="E205" s="64" t="s">
        <v>209</v>
      </c>
      <c r="F205" s="64" t="s">
        <v>212</v>
      </c>
      <c r="G205" s="22"/>
      <c r="H205" s="49">
        <v>564.6</v>
      </c>
      <c r="I205" s="49">
        <v>21.7</v>
      </c>
      <c r="J205" s="49">
        <v>531.9</v>
      </c>
      <c r="K205" s="49"/>
      <c r="L205" s="49">
        <f>J205+K205</f>
        <v>531.9</v>
      </c>
    </row>
    <row r="206" spans="1:12" ht="21.75" customHeight="1" hidden="1">
      <c r="A206" s="89" t="s">
        <v>24</v>
      </c>
      <c r="B206" s="63" t="s">
        <v>0</v>
      </c>
      <c r="C206" s="63" t="s">
        <v>8</v>
      </c>
      <c r="D206" s="64"/>
      <c r="E206" s="64"/>
      <c r="F206" s="64"/>
      <c r="G206" s="17">
        <f>G207</f>
        <v>0</v>
      </c>
      <c r="H206" s="47">
        <f>H207+H215</f>
        <v>0</v>
      </c>
      <c r="I206" s="47">
        <f>I207+I215</f>
        <v>0</v>
      </c>
      <c r="J206" s="47">
        <f>J207+J215</f>
        <v>0</v>
      </c>
      <c r="K206" s="47">
        <f>K207+K215</f>
        <v>0</v>
      </c>
      <c r="L206" s="47">
        <f>L207+L215</f>
        <v>0</v>
      </c>
    </row>
    <row r="207" spans="1:12" s="27" customFormat="1" ht="14.25" customHeight="1" hidden="1">
      <c r="A207" s="89" t="s">
        <v>26</v>
      </c>
      <c r="B207" s="63" t="s">
        <v>0</v>
      </c>
      <c r="C207" s="63" t="s">
        <v>8</v>
      </c>
      <c r="D207" s="63" t="s">
        <v>7</v>
      </c>
      <c r="E207" s="63"/>
      <c r="F207" s="63"/>
      <c r="G207" s="17">
        <f aca="true" t="shared" si="16" ref="G207:L207">G209+G212</f>
        <v>0</v>
      </c>
      <c r="H207" s="47">
        <f t="shared" si="16"/>
        <v>0</v>
      </c>
      <c r="I207" s="47">
        <f t="shared" si="16"/>
        <v>0</v>
      </c>
      <c r="J207" s="47">
        <f t="shared" si="16"/>
        <v>0</v>
      </c>
      <c r="K207" s="47">
        <f t="shared" si="16"/>
        <v>0</v>
      </c>
      <c r="L207" s="47">
        <f t="shared" si="16"/>
        <v>0</v>
      </c>
    </row>
    <row r="208" spans="1:12" ht="15" customHeight="1" hidden="1">
      <c r="A208" s="90" t="s">
        <v>312</v>
      </c>
      <c r="B208" s="64" t="s">
        <v>0</v>
      </c>
      <c r="C208" s="64" t="s">
        <v>8</v>
      </c>
      <c r="D208" s="64" t="s">
        <v>7</v>
      </c>
      <c r="E208" s="64" t="s">
        <v>252</v>
      </c>
      <c r="F208" s="64"/>
      <c r="G208" s="22"/>
      <c r="H208" s="49">
        <f>H209+H212</f>
        <v>0</v>
      </c>
      <c r="I208" s="49">
        <f>I209+I212</f>
        <v>0</v>
      </c>
      <c r="J208" s="49">
        <f>J209+J212</f>
        <v>0</v>
      </c>
      <c r="K208" s="49">
        <f>K209+K212</f>
        <v>0</v>
      </c>
      <c r="L208" s="49">
        <f>L209+L212</f>
        <v>0</v>
      </c>
    </row>
    <row r="209" spans="1:12" ht="21" customHeight="1" hidden="1">
      <c r="A209" s="96" t="s">
        <v>213</v>
      </c>
      <c r="B209" s="64" t="s">
        <v>0</v>
      </c>
      <c r="C209" s="64" t="s">
        <v>8</v>
      </c>
      <c r="D209" s="64" t="s">
        <v>7</v>
      </c>
      <c r="E209" s="64" t="s">
        <v>214</v>
      </c>
      <c r="F209" s="64"/>
      <c r="G209" s="22">
        <f>G210</f>
        <v>0</v>
      </c>
      <c r="H209" s="49">
        <f>H210+H211</f>
        <v>0</v>
      </c>
      <c r="I209" s="49">
        <f>I210+I211</f>
        <v>0</v>
      </c>
      <c r="J209" s="49">
        <f>J210+J211</f>
        <v>0</v>
      </c>
      <c r="K209" s="49">
        <f>K210+K211</f>
        <v>0</v>
      </c>
      <c r="L209" s="49">
        <f>L210+L211</f>
        <v>0</v>
      </c>
    </row>
    <row r="210" spans="1:12" ht="15" customHeight="1" hidden="1">
      <c r="A210" s="90" t="s">
        <v>94</v>
      </c>
      <c r="B210" s="64" t="s">
        <v>0</v>
      </c>
      <c r="C210" s="64" t="s">
        <v>8</v>
      </c>
      <c r="D210" s="64" t="s">
        <v>7</v>
      </c>
      <c r="E210" s="64" t="s">
        <v>214</v>
      </c>
      <c r="F210" s="64" t="s">
        <v>93</v>
      </c>
      <c r="G210" s="22"/>
      <c r="H210" s="49"/>
      <c r="I210" s="49"/>
      <c r="J210" s="49">
        <f>H210+I210</f>
        <v>0</v>
      </c>
      <c r="K210" s="49"/>
      <c r="L210" s="49">
        <f>J210+K210</f>
        <v>0</v>
      </c>
    </row>
    <row r="211" spans="1:12" ht="31.5" customHeight="1" hidden="1">
      <c r="A211" s="79" t="s">
        <v>145</v>
      </c>
      <c r="B211" s="64" t="s">
        <v>0</v>
      </c>
      <c r="C211" s="64" t="s">
        <v>8</v>
      </c>
      <c r="D211" s="64" t="s">
        <v>7</v>
      </c>
      <c r="E211" s="64" t="s">
        <v>214</v>
      </c>
      <c r="F211" s="64" t="s">
        <v>147</v>
      </c>
      <c r="G211" s="22"/>
      <c r="H211" s="49">
        <v>0</v>
      </c>
      <c r="I211" s="49"/>
      <c r="J211" s="49">
        <f>H211+I211</f>
        <v>0</v>
      </c>
      <c r="K211" s="49"/>
      <c r="L211" s="49">
        <f>J211+K211</f>
        <v>0</v>
      </c>
    </row>
    <row r="212" spans="1:12" ht="43.5" customHeight="1" hidden="1">
      <c r="A212" s="77" t="s">
        <v>215</v>
      </c>
      <c r="B212" s="64" t="s">
        <v>0</v>
      </c>
      <c r="C212" s="64" t="s">
        <v>8</v>
      </c>
      <c r="D212" s="64" t="s">
        <v>7</v>
      </c>
      <c r="E212" s="64" t="s">
        <v>216</v>
      </c>
      <c r="F212" s="64"/>
      <c r="G212" s="22">
        <f>G213</f>
        <v>0</v>
      </c>
      <c r="H212" s="49">
        <f>H213+H214</f>
        <v>0</v>
      </c>
      <c r="I212" s="49">
        <f>I213+I214</f>
        <v>0</v>
      </c>
      <c r="J212" s="49">
        <f>J213+J214</f>
        <v>0</v>
      </c>
      <c r="K212" s="49">
        <f>K213+K214</f>
        <v>0</v>
      </c>
      <c r="L212" s="49">
        <f>L213+L214</f>
        <v>0</v>
      </c>
    </row>
    <row r="213" spans="1:12" ht="15" customHeight="1" hidden="1">
      <c r="A213" s="90" t="s">
        <v>94</v>
      </c>
      <c r="B213" s="64" t="s">
        <v>0</v>
      </c>
      <c r="C213" s="64" t="s">
        <v>8</v>
      </c>
      <c r="D213" s="64" t="s">
        <v>7</v>
      </c>
      <c r="E213" s="64" t="s">
        <v>216</v>
      </c>
      <c r="F213" s="64" t="s">
        <v>93</v>
      </c>
      <c r="G213" s="22"/>
      <c r="H213" s="49"/>
      <c r="I213" s="49"/>
      <c r="J213" s="49">
        <f>H213+I213</f>
        <v>0</v>
      </c>
      <c r="K213" s="49"/>
      <c r="L213" s="49">
        <f>J213+K213</f>
        <v>0</v>
      </c>
    </row>
    <row r="214" spans="1:12" ht="31.5" customHeight="1" hidden="1">
      <c r="A214" s="79" t="s">
        <v>145</v>
      </c>
      <c r="B214" s="64" t="s">
        <v>0</v>
      </c>
      <c r="C214" s="64" t="s">
        <v>8</v>
      </c>
      <c r="D214" s="64" t="s">
        <v>7</v>
      </c>
      <c r="E214" s="64" t="s">
        <v>216</v>
      </c>
      <c r="F214" s="64" t="s">
        <v>147</v>
      </c>
      <c r="G214" s="22"/>
      <c r="H214" s="49">
        <v>0</v>
      </c>
      <c r="I214" s="49"/>
      <c r="J214" s="49">
        <f>H214+I214</f>
        <v>0</v>
      </c>
      <c r="K214" s="49"/>
      <c r="L214" s="49">
        <f>J214+K214</f>
        <v>0</v>
      </c>
    </row>
    <row r="215" spans="1:12" ht="32.25" customHeight="1" hidden="1">
      <c r="A215" s="89" t="s">
        <v>280</v>
      </c>
      <c r="B215" s="63" t="s">
        <v>0</v>
      </c>
      <c r="C215" s="63" t="s">
        <v>8</v>
      </c>
      <c r="D215" s="63" t="s">
        <v>28</v>
      </c>
      <c r="E215" s="63"/>
      <c r="F215" s="63"/>
      <c r="G215" s="17"/>
      <c r="H215" s="47">
        <f aca="true" t="shared" si="17" ref="H215:L216">H216</f>
        <v>0</v>
      </c>
      <c r="I215" s="47">
        <f t="shared" si="17"/>
        <v>0</v>
      </c>
      <c r="J215" s="47">
        <f t="shared" si="17"/>
        <v>0</v>
      </c>
      <c r="K215" s="47">
        <f t="shared" si="17"/>
        <v>0</v>
      </c>
      <c r="L215" s="47">
        <f t="shared" si="17"/>
        <v>0</v>
      </c>
    </row>
    <row r="216" spans="1:12" ht="32.25" customHeight="1" hidden="1">
      <c r="A216" s="91" t="s">
        <v>391</v>
      </c>
      <c r="B216" s="64" t="s">
        <v>0</v>
      </c>
      <c r="C216" s="64" t="s">
        <v>8</v>
      </c>
      <c r="D216" s="64" t="s">
        <v>28</v>
      </c>
      <c r="E216" s="64" t="s">
        <v>392</v>
      </c>
      <c r="F216" s="64"/>
      <c r="G216" s="22"/>
      <c r="H216" s="49">
        <f t="shared" si="17"/>
        <v>0</v>
      </c>
      <c r="I216" s="49">
        <f t="shared" si="17"/>
        <v>0</v>
      </c>
      <c r="J216" s="49">
        <f t="shared" si="17"/>
        <v>0</v>
      </c>
      <c r="K216" s="49">
        <f t="shared" si="17"/>
        <v>0</v>
      </c>
      <c r="L216" s="49">
        <f t="shared" si="17"/>
        <v>0</v>
      </c>
    </row>
    <row r="217" spans="1:12" ht="15" customHeight="1" hidden="1">
      <c r="A217" s="91" t="s">
        <v>394</v>
      </c>
      <c r="B217" s="64" t="s">
        <v>0</v>
      </c>
      <c r="C217" s="64" t="s">
        <v>8</v>
      </c>
      <c r="D217" s="64" t="s">
        <v>28</v>
      </c>
      <c r="E217" s="64" t="s">
        <v>392</v>
      </c>
      <c r="F217" s="64" t="s">
        <v>393</v>
      </c>
      <c r="G217" s="22"/>
      <c r="H217" s="49"/>
      <c r="I217" s="49"/>
      <c r="J217" s="49">
        <f>H217+I217</f>
        <v>0</v>
      </c>
      <c r="K217" s="49"/>
      <c r="L217" s="49">
        <f>J217+K217</f>
        <v>0</v>
      </c>
    </row>
    <row r="218" spans="1:12" ht="16.5" customHeight="1">
      <c r="A218" s="89" t="s">
        <v>30</v>
      </c>
      <c r="B218" s="63" t="s">
        <v>0</v>
      </c>
      <c r="C218" s="63" t="s">
        <v>9</v>
      </c>
      <c r="D218" s="63"/>
      <c r="E218" s="63"/>
      <c r="F218" s="63"/>
      <c r="G218" s="17" t="e">
        <f>#REF!+G226</f>
        <v>#REF!</v>
      </c>
      <c r="H218" s="47">
        <f>H226+H219</f>
        <v>0</v>
      </c>
      <c r="I218" s="47">
        <f>I226+I219</f>
        <v>750</v>
      </c>
      <c r="J218" s="47">
        <f>J226+J219</f>
        <v>7942.215</v>
      </c>
      <c r="K218" s="47">
        <f>K226+K219</f>
        <v>-596.0449500000001</v>
      </c>
      <c r="L218" s="47">
        <f>L226+L219</f>
        <v>7346.17005</v>
      </c>
    </row>
    <row r="219" spans="1:12" ht="15" customHeight="1">
      <c r="A219" s="89" t="s">
        <v>418</v>
      </c>
      <c r="B219" s="63" t="s">
        <v>0</v>
      </c>
      <c r="C219" s="63" t="s">
        <v>9</v>
      </c>
      <c r="D219" s="63" t="s">
        <v>28</v>
      </c>
      <c r="E219" s="63"/>
      <c r="F219" s="63"/>
      <c r="G219" s="17"/>
      <c r="H219" s="47">
        <f>H220+H222</f>
        <v>0</v>
      </c>
      <c r="I219" s="47">
        <f>I220+I222</f>
        <v>0</v>
      </c>
      <c r="J219" s="47">
        <f>J220+J222++J224</f>
        <v>4796.215</v>
      </c>
      <c r="K219" s="47">
        <f>K220+K222++K224</f>
        <v>-0.01</v>
      </c>
      <c r="L219" s="47">
        <f>L220+L222++L224</f>
        <v>4796.205</v>
      </c>
    </row>
    <row r="220" spans="1:12" ht="32.25" customHeight="1">
      <c r="A220" s="91" t="s">
        <v>391</v>
      </c>
      <c r="B220" s="64" t="s">
        <v>0</v>
      </c>
      <c r="C220" s="64" t="s">
        <v>9</v>
      </c>
      <c r="D220" s="64" t="s">
        <v>28</v>
      </c>
      <c r="E220" s="64" t="s">
        <v>392</v>
      </c>
      <c r="F220" s="64"/>
      <c r="G220" s="17"/>
      <c r="H220" s="49">
        <f>H221</f>
        <v>0</v>
      </c>
      <c r="I220" s="49">
        <f>I221</f>
        <v>0</v>
      </c>
      <c r="J220" s="49">
        <f>J221</f>
        <v>1260</v>
      </c>
      <c r="K220" s="49">
        <f>K221</f>
        <v>0</v>
      </c>
      <c r="L220" s="49">
        <f>L221</f>
        <v>1260</v>
      </c>
    </row>
    <row r="221" spans="1:12" ht="15" customHeight="1">
      <c r="A221" s="91" t="s">
        <v>394</v>
      </c>
      <c r="B221" s="64" t="s">
        <v>0</v>
      </c>
      <c r="C221" s="64" t="s">
        <v>9</v>
      </c>
      <c r="D221" s="64" t="s">
        <v>28</v>
      </c>
      <c r="E221" s="64" t="s">
        <v>392</v>
      </c>
      <c r="F221" s="64" t="s">
        <v>393</v>
      </c>
      <c r="G221" s="17"/>
      <c r="H221" s="49"/>
      <c r="I221" s="49"/>
      <c r="J221" s="49">
        <v>1260</v>
      </c>
      <c r="K221" s="49"/>
      <c r="L221" s="49">
        <f>J221+K221</f>
        <v>1260</v>
      </c>
    </row>
    <row r="222" spans="1:12" ht="46.5" customHeight="1">
      <c r="A222" s="90" t="s">
        <v>420</v>
      </c>
      <c r="B222" s="64" t="s">
        <v>0</v>
      </c>
      <c r="C222" s="64" t="s">
        <v>9</v>
      </c>
      <c r="D222" s="64" t="s">
        <v>28</v>
      </c>
      <c r="E222" s="64" t="s">
        <v>419</v>
      </c>
      <c r="F222" s="64"/>
      <c r="G222" s="17"/>
      <c r="H222" s="49">
        <f>H223</f>
        <v>0</v>
      </c>
      <c r="I222" s="49">
        <f>I223</f>
        <v>0</v>
      </c>
      <c r="J222" s="49">
        <f>J223</f>
        <v>3236.215</v>
      </c>
      <c r="K222" s="49">
        <f>K223</f>
        <v>-0.01</v>
      </c>
      <c r="L222" s="49">
        <f>L223</f>
        <v>3236.205</v>
      </c>
    </row>
    <row r="223" spans="1:12" ht="15" customHeight="1">
      <c r="A223" s="91" t="s">
        <v>394</v>
      </c>
      <c r="B223" s="64" t="s">
        <v>0</v>
      </c>
      <c r="C223" s="64" t="s">
        <v>9</v>
      </c>
      <c r="D223" s="64" t="s">
        <v>28</v>
      </c>
      <c r="E223" s="64" t="s">
        <v>419</v>
      </c>
      <c r="F223" s="64" t="s">
        <v>393</v>
      </c>
      <c r="G223" s="17"/>
      <c r="H223" s="49"/>
      <c r="I223" s="49"/>
      <c r="J223" s="49">
        <v>3236.215</v>
      </c>
      <c r="K223" s="49">
        <f>-0.01</f>
        <v>-0.01</v>
      </c>
      <c r="L223" s="49">
        <f>J223+K223</f>
        <v>3236.205</v>
      </c>
    </row>
    <row r="224" spans="1:12" ht="23.25" customHeight="1">
      <c r="A224" s="130" t="s">
        <v>395</v>
      </c>
      <c r="B224" s="64" t="s">
        <v>0</v>
      </c>
      <c r="C224" s="64" t="s">
        <v>9</v>
      </c>
      <c r="D224" s="64" t="s">
        <v>28</v>
      </c>
      <c r="E224" s="64" t="s">
        <v>396</v>
      </c>
      <c r="F224" s="64"/>
      <c r="G224" s="22"/>
      <c r="H224" s="52"/>
      <c r="I224" s="49"/>
      <c r="J224" s="49">
        <f>J225</f>
        <v>300</v>
      </c>
      <c r="K224" s="49">
        <f>K225</f>
        <v>0</v>
      </c>
      <c r="L224" s="49">
        <f>L225</f>
        <v>300</v>
      </c>
    </row>
    <row r="225" spans="1:12" ht="23.25" customHeight="1">
      <c r="A225" s="79" t="s">
        <v>499</v>
      </c>
      <c r="B225" s="64" t="s">
        <v>0</v>
      </c>
      <c r="C225" s="64" t="s">
        <v>9</v>
      </c>
      <c r="D225" s="64" t="s">
        <v>28</v>
      </c>
      <c r="E225" s="64" t="s">
        <v>396</v>
      </c>
      <c r="F225" s="64" t="s">
        <v>147</v>
      </c>
      <c r="G225" s="22"/>
      <c r="H225" s="52"/>
      <c r="I225" s="49"/>
      <c r="J225" s="49">
        <v>300</v>
      </c>
      <c r="K225" s="49"/>
      <c r="L225" s="49">
        <f>J225+K225</f>
        <v>300</v>
      </c>
    </row>
    <row r="226" spans="1:12" s="27" customFormat="1" ht="21.75">
      <c r="A226" s="92" t="s">
        <v>35</v>
      </c>
      <c r="B226" s="63" t="s">
        <v>0</v>
      </c>
      <c r="C226" s="63" t="s">
        <v>9</v>
      </c>
      <c r="D226" s="63" t="s">
        <v>17</v>
      </c>
      <c r="E226" s="63"/>
      <c r="F226" s="63"/>
      <c r="G226" s="17">
        <f>G234</f>
        <v>0</v>
      </c>
      <c r="H226" s="47">
        <f>H233+H229+H227</f>
        <v>0</v>
      </c>
      <c r="I226" s="47">
        <f>I233+I229+I227</f>
        <v>750</v>
      </c>
      <c r="J226" s="47">
        <f>J233+J229+J227+J231</f>
        <v>3146</v>
      </c>
      <c r="K226" s="47">
        <f>K233+K229+K227+K231</f>
        <v>-596.0349500000001</v>
      </c>
      <c r="L226" s="47">
        <f>L233+L229+L227+L231</f>
        <v>2549.96505</v>
      </c>
    </row>
    <row r="227" spans="1:12" s="27" customFormat="1" ht="31.5" customHeight="1">
      <c r="A227" s="91" t="s">
        <v>391</v>
      </c>
      <c r="B227" s="64" t="s">
        <v>0</v>
      </c>
      <c r="C227" s="64" t="s">
        <v>9</v>
      </c>
      <c r="D227" s="64" t="s">
        <v>17</v>
      </c>
      <c r="E227" s="64" t="s">
        <v>392</v>
      </c>
      <c r="F227" s="64"/>
      <c r="G227" s="17"/>
      <c r="H227" s="49">
        <f>H228</f>
        <v>0</v>
      </c>
      <c r="I227" s="49">
        <f>I228</f>
        <v>300</v>
      </c>
      <c r="J227" s="49">
        <f>J228</f>
        <v>596</v>
      </c>
      <c r="K227" s="49">
        <f>K228</f>
        <v>0</v>
      </c>
      <c r="L227" s="49">
        <f>L228</f>
        <v>596</v>
      </c>
    </row>
    <row r="228" spans="1:12" s="27" customFormat="1" ht="14.25" customHeight="1">
      <c r="A228" s="91" t="s">
        <v>394</v>
      </c>
      <c r="B228" s="64" t="s">
        <v>0</v>
      </c>
      <c r="C228" s="64" t="s">
        <v>9</v>
      </c>
      <c r="D228" s="64" t="s">
        <v>17</v>
      </c>
      <c r="E228" s="64" t="s">
        <v>392</v>
      </c>
      <c r="F228" s="64" t="s">
        <v>393</v>
      </c>
      <c r="G228" s="17"/>
      <c r="H228" s="49"/>
      <c r="I228" s="49">
        <v>300</v>
      </c>
      <c r="J228" s="49">
        <v>596</v>
      </c>
      <c r="K228" s="49"/>
      <c r="L228" s="49">
        <f>J228+K228</f>
        <v>596</v>
      </c>
    </row>
    <row r="229" spans="1:12" s="27" customFormat="1" ht="21" customHeight="1">
      <c r="A229" s="77" t="s">
        <v>417</v>
      </c>
      <c r="B229" s="64" t="s">
        <v>0</v>
      </c>
      <c r="C229" s="64" t="s">
        <v>9</v>
      </c>
      <c r="D229" s="64" t="s">
        <v>17</v>
      </c>
      <c r="E229" s="64" t="s">
        <v>416</v>
      </c>
      <c r="F229" s="64"/>
      <c r="G229" s="17"/>
      <c r="H229" s="49">
        <f>H230+H231</f>
        <v>0</v>
      </c>
      <c r="I229" s="49">
        <f>I230+I231</f>
        <v>0</v>
      </c>
      <c r="J229" s="49">
        <f>J230</f>
        <v>1380</v>
      </c>
      <c r="K229" s="49">
        <f>K230</f>
        <v>-880.14988</v>
      </c>
      <c r="L229" s="49">
        <f>L230</f>
        <v>499.85011999999995</v>
      </c>
    </row>
    <row r="230" spans="1:12" s="27" customFormat="1" ht="35.25" customHeight="1">
      <c r="A230" s="79" t="s">
        <v>219</v>
      </c>
      <c r="B230" s="64" t="s">
        <v>0</v>
      </c>
      <c r="C230" s="64" t="s">
        <v>9</v>
      </c>
      <c r="D230" s="64" t="s">
        <v>17</v>
      </c>
      <c r="E230" s="64" t="s">
        <v>416</v>
      </c>
      <c r="F230" s="64" t="s">
        <v>220</v>
      </c>
      <c r="G230" s="17"/>
      <c r="H230" s="49"/>
      <c r="I230" s="49"/>
      <c r="J230" s="49">
        <v>1380</v>
      </c>
      <c r="K230" s="49">
        <f>-544.58005-335.56983</f>
        <v>-880.14988</v>
      </c>
      <c r="L230" s="49">
        <f>J230+K230</f>
        <v>499.85011999999995</v>
      </c>
    </row>
    <row r="231" spans="1:12" s="27" customFormat="1" ht="31.5" customHeight="1">
      <c r="A231" s="79" t="s">
        <v>489</v>
      </c>
      <c r="B231" s="64" t="s">
        <v>0</v>
      </c>
      <c r="C231" s="64" t="s">
        <v>9</v>
      </c>
      <c r="D231" s="64" t="s">
        <v>17</v>
      </c>
      <c r="E231" s="64" t="s">
        <v>488</v>
      </c>
      <c r="F231" s="64"/>
      <c r="G231" s="17"/>
      <c r="H231" s="49"/>
      <c r="I231" s="49"/>
      <c r="J231" s="49">
        <f>J232</f>
        <v>1020</v>
      </c>
      <c r="K231" s="49">
        <f>K232</f>
        <v>286.6169299999999</v>
      </c>
      <c r="L231" s="49">
        <f>L232</f>
        <v>1306.61693</v>
      </c>
    </row>
    <row r="232" spans="1:12" s="27" customFormat="1" ht="38.25" customHeight="1">
      <c r="A232" s="79" t="s">
        <v>219</v>
      </c>
      <c r="B232" s="64" t="s">
        <v>0</v>
      </c>
      <c r="C232" s="64" t="s">
        <v>9</v>
      </c>
      <c r="D232" s="64" t="s">
        <v>17</v>
      </c>
      <c r="E232" s="64" t="s">
        <v>488</v>
      </c>
      <c r="F232" s="64" t="s">
        <v>220</v>
      </c>
      <c r="G232" s="17"/>
      <c r="H232" s="49"/>
      <c r="I232" s="49"/>
      <c r="J232" s="49">
        <v>1020</v>
      </c>
      <c r="K232" s="49">
        <f>2000-1522.71745-190.66562</f>
        <v>286.6169299999999</v>
      </c>
      <c r="L232" s="49">
        <f>J232+K232</f>
        <v>1306.61693</v>
      </c>
    </row>
    <row r="233" spans="1:12" s="27" customFormat="1" ht="14.25">
      <c r="A233" s="79" t="s">
        <v>312</v>
      </c>
      <c r="B233" s="64" t="s">
        <v>0</v>
      </c>
      <c r="C233" s="64" t="s">
        <v>9</v>
      </c>
      <c r="D233" s="64" t="s">
        <v>17</v>
      </c>
      <c r="E233" s="64" t="s">
        <v>252</v>
      </c>
      <c r="F233" s="64"/>
      <c r="G233" s="17"/>
      <c r="H233" s="49">
        <f>H234</f>
        <v>0</v>
      </c>
      <c r="I233" s="49">
        <f>I234</f>
        <v>450</v>
      </c>
      <c r="J233" s="49">
        <f>J234</f>
        <v>150</v>
      </c>
      <c r="K233" s="49">
        <f>K234</f>
        <v>-2.502</v>
      </c>
      <c r="L233" s="49">
        <f>L234</f>
        <v>147.498</v>
      </c>
    </row>
    <row r="234" spans="1:12" ht="23.25">
      <c r="A234" s="97" t="s">
        <v>474</v>
      </c>
      <c r="B234" s="64" t="s">
        <v>0</v>
      </c>
      <c r="C234" s="64" t="s">
        <v>9</v>
      </c>
      <c r="D234" s="64" t="s">
        <v>17</v>
      </c>
      <c r="E234" s="64" t="s">
        <v>221</v>
      </c>
      <c r="F234" s="64"/>
      <c r="G234" s="22">
        <f>G235</f>
        <v>0</v>
      </c>
      <c r="H234" s="49">
        <f>H235+H236</f>
        <v>0</v>
      </c>
      <c r="I234" s="49">
        <f>I235+I236</f>
        <v>450</v>
      </c>
      <c r="J234" s="49">
        <f>J235+J236</f>
        <v>150</v>
      </c>
      <c r="K234" s="49">
        <f>K235+K236</f>
        <v>-2.502</v>
      </c>
      <c r="L234" s="49">
        <f>L235+L236</f>
        <v>147.498</v>
      </c>
    </row>
    <row r="235" spans="1:12" ht="33.75">
      <c r="A235" s="79" t="s">
        <v>499</v>
      </c>
      <c r="B235" s="64" t="s">
        <v>0</v>
      </c>
      <c r="C235" s="64" t="s">
        <v>9</v>
      </c>
      <c r="D235" s="64" t="s">
        <v>17</v>
      </c>
      <c r="E235" s="64" t="s">
        <v>221</v>
      </c>
      <c r="F235" s="64" t="s">
        <v>147</v>
      </c>
      <c r="G235" s="22"/>
      <c r="H235" s="49"/>
      <c r="I235" s="49">
        <v>150</v>
      </c>
      <c r="J235" s="49">
        <f>H235+I235</f>
        <v>150</v>
      </c>
      <c r="K235" s="49">
        <f>-1.902-2.502+20.325-20.325</f>
        <v>-4.404</v>
      </c>
      <c r="L235" s="49">
        <f>J235+K235</f>
        <v>145.596</v>
      </c>
    </row>
    <row r="236" spans="1:12" ht="33.75">
      <c r="A236" s="79" t="s">
        <v>219</v>
      </c>
      <c r="B236" s="64" t="s">
        <v>0</v>
      </c>
      <c r="C236" s="64" t="s">
        <v>9</v>
      </c>
      <c r="D236" s="64" t="s">
        <v>17</v>
      </c>
      <c r="E236" s="64" t="s">
        <v>221</v>
      </c>
      <c r="F236" s="64" t="s">
        <v>220</v>
      </c>
      <c r="G236" s="26"/>
      <c r="H236" s="49"/>
      <c r="I236" s="49">
        <v>300</v>
      </c>
      <c r="J236" s="49">
        <v>0</v>
      </c>
      <c r="K236" s="49">
        <f>1.902</f>
        <v>1.902</v>
      </c>
      <c r="L236" s="49">
        <f>J236+K236</f>
        <v>1.902</v>
      </c>
    </row>
    <row r="237" spans="1:12" s="27" customFormat="1" ht="14.25" customHeight="1">
      <c r="A237" s="93" t="s">
        <v>222</v>
      </c>
      <c r="B237" s="63" t="s">
        <v>0</v>
      </c>
      <c r="C237" s="63" t="s">
        <v>11</v>
      </c>
      <c r="D237" s="63"/>
      <c r="E237" s="63"/>
      <c r="F237" s="63"/>
      <c r="G237" s="24"/>
      <c r="H237" s="47">
        <f>H238+H252</f>
        <v>0</v>
      </c>
      <c r="I237" s="47">
        <f>I238+I252</f>
        <v>2255</v>
      </c>
      <c r="J237" s="47">
        <f>J238+J252</f>
        <v>7417.888</v>
      </c>
      <c r="K237" s="47">
        <f>K238+K252</f>
        <v>-150</v>
      </c>
      <c r="L237" s="47">
        <f>L238+L252</f>
        <v>7267.888</v>
      </c>
    </row>
    <row r="238" spans="1:12" s="27" customFormat="1" ht="14.25" customHeight="1">
      <c r="A238" s="93" t="s">
        <v>39</v>
      </c>
      <c r="B238" s="63" t="s">
        <v>0</v>
      </c>
      <c r="C238" s="63" t="s">
        <v>11</v>
      </c>
      <c r="D238" s="63" t="s">
        <v>7</v>
      </c>
      <c r="E238" s="63"/>
      <c r="F238" s="63"/>
      <c r="G238" s="24"/>
      <c r="H238" s="47">
        <f>H239+H241+H245</f>
        <v>0</v>
      </c>
      <c r="I238" s="47">
        <f>I239+I241+I245</f>
        <v>2255</v>
      </c>
      <c r="J238" s="47">
        <f>J239+J241+J245+J243</f>
        <v>6687.888</v>
      </c>
      <c r="K238" s="47">
        <f>K239+K241+K245+K243</f>
        <v>-150</v>
      </c>
      <c r="L238" s="47">
        <f>L239+L241+L245+L243</f>
        <v>6537.888</v>
      </c>
    </row>
    <row r="239" spans="1:12" ht="45.75" customHeight="1">
      <c r="A239" s="91" t="s">
        <v>391</v>
      </c>
      <c r="B239" s="64" t="s">
        <v>0</v>
      </c>
      <c r="C239" s="64" t="s">
        <v>11</v>
      </c>
      <c r="D239" s="64" t="s">
        <v>7</v>
      </c>
      <c r="E239" s="64" t="s">
        <v>392</v>
      </c>
      <c r="F239" s="64"/>
      <c r="G239" s="26"/>
      <c r="H239" s="49">
        <f>H240</f>
        <v>0</v>
      </c>
      <c r="I239" s="49">
        <f>I240</f>
        <v>380</v>
      </c>
      <c r="J239" s="49">
        <f>J240</f>
        <v>814</v>
      </c>
      <c r="K239" s="49">
        <f>K240</f>
        <v>-150</v>
      </c>
      <c r="L239" s="49">
        <f>L240</f>
        <v>664</v>
      </c>
    </row>
    <row r="240" spans="1:12" ht="15" customHeight="1">
      <c r="A240" s="91" t="s">
        <v>394</v>
      </c>
      <c r="B240" s="64" t="s">
        <v>0</v>
      </c>
      <c r="C240" s="64" t="s">
        <v>11</v>
      </c>
      <c r="D240" s="64" t="s">
        <v>7</v>
      </c>
      <c r="E240" s="64" t="s">
        <v>392</v>
      </c>
      <c r="F240" s="64" t="s">
        <v>393</v>
      </c>
      <c r="G240" s="26"/>
      <c r="H240" s="49"/>
      <c r="I240" s="49">
        <v>380</v>
      </c>
      <c r="J240" s="49">
        <v>814</v>
      </c>
      <c r="K240" s="49">
        <f>100-250</f>
        <v>-150</v>
      </c>
      <c r="L240" s="49">
        <f>J240+K240</f>
        <v>664</v>
      </c>
    </row>
    <row r="241" spans="1:12" ht="21.75" customHeight="1">
      <c r="A241" s="91" t="s">
        <v>433</v>
      </c>
      <c r="B241" s="64" t="s">
        <v>0</v>
      </c>
      <c r="C241" s="64" t="s">
        <v>11</v>
      </c>
      <c r="D241" s="64" t="s">
        <v>7</v>
      </c>
      <c r="E241" s="64" t="s">
        <v>434</v>
      </c>
      <c r="F241" s="64"/>
      <c r="G241" s="26"/>
      <c r="H241" s="49">
        <f>H242</f>
        <v>0</v>
      </c>
      <c r="I241" s="49">
        <f>I242</f>
        <v>0</v>
      </c>
      <c r="J241" s="49">
        <f>J242</f>
        <v>806.9</v>
      </c>
      <c r="K241" s="49">
        <f>K242</f>
        <v>0</v>
      </c>
      <c r="L241" s="49">
        <f>L242</f>
        <v>806.9</v>
      </c>
    </row>
    <row r="242" spans="1:12" ht="15" customHeight="1">
      <c r="A242" s="91" t="s">
        <v>394</v>
      </c>
      <c r="B242" s="64" t="s">
        <v>0</v>
      </c>
      <c r="C242" s="64" t="s">
        <v>11</v>
      </c>
      <c r="D242" s="64" t="s">
        <v>7</v>
      </c>
      <c r="E242" s="64" t="s">
        <v>434</v>
      </c>
      <c r="F242" s="64" t="s">
        <v>393</v>
      </c>
      <c r="G242" s="26"/>
      <c r="H242" s="49"/>
      <c r="I242" s="49"/>
      <c r="J242" s="49">
        <v>806.9</v>
      </c>
      <c r="K242" s="49"/>
      <c r="L242" s="49">
        <f>J242+K242</f>
        <v>806.9</v>
      </c>
    </row>
    <row r="243" spans="1:12" ht="38.25" customHeight="1">
      <c r="A243" s="122" t="s">
        <v>527</v>
      </c>
      <c r="B243" s="64" t="s">
        <v>0</v>
      </c>
      <c r="C243" s="64" t="s">
        <v>11</v>
      </c>
      <c r="D243" s="64" t="s">
        <v>7</v>
      </c>
      <c r="E243" s="64" t="s">
        <v>496</v>
      </c>
      <c r="F243" s="64"/>
      <c r="G243" s="26"/>
      <c r="H243" s="49"/>
      <c r="I243" s="49"/>
      <c r="J243" s="49">
        <f>J244</f>
        <v>1589.3</v>
      </c>
      <c r="K243" s="49">
        <f>K244</f>
        <v>0</v>
      </c>
      <c r="L243" s="49">
        <f>L244</f>
        <v>1589.3</v>
      </c>
    </row>
    <row r="244" spans="1:12" ht="15" customHeight="1">
      <c r="A244" s="91" t="s">
        <v>394</v>
      </c>
      <c r="B244" s="64" t="s">
        <v>0</v>
      </c>
      <c r="C244" s="64" t="s">
        <v>11</v>
      </c>
      <c r="D244" s="64" t="s">
        <v>7</v>
      </c>
      <c r="E244" s="64" t="s">
        <v>496</v>
      </c>
      <c r="F244" s="64" t="s">
        <v>393</v>
      </c>
      <c r="G244" s="26"/>
      <c r="H244" s="49"/>
      <c r="I244" s="49"/>
      <c r="J244" s="49">
        <v>1589.3</v>
      </c>
      <c r="K244" s="49"/>
      <c r="L244" s="49">
        <f>J244+K244</f>
        <v>1589.3</v>
      </c>
    </row>
    <row r="245" spans="1:12" ht="15" customHeight="1">
      <c r="A245" s="91" t="s">
        <v>312</v>
      </c>
      <c r="B245" s="64" t="s">
        <v>0</v>
      </c>
      <c r="C245" s="64" t="s">
        <v>11</v>
      </c>
      <c r="D245" s="64" t="s">
        <v>7</v>
      </c>
      <c r="E245" s="64" t="s">
        <v>252</v>
      </c>
      <c r="F245" s="64"/>
      <c r="G245" s="26"/>
      <c r="H245" s="49">
        <f>H248+H250+H246</f>
        <v>0</v>
      </c>
      <c r="I245" s="49">
        <f>I248+I250+I246</f>
        <v>1875</v>
      </c>
      <c r="J245" s="49">
        <f>J248+J250+J246</f>
        <v>3477.688</v>
      </c>
      <c r="K245" s="49">
        <f>K248+K250+K246</f>
        <v>0</v>
      </c>
      <c r="L245" s="49">
        <f>L248+L250+L246</f>
        <v>3477.688</v>
      </c>
    </row>
    <row r="246" spans="1:12" ht="15" customHeight="1">
      <c r="A246" s="80" t="s">
        <v>278</v>
      </c>
      <c r="B246" s="64" t="s">
        <v>0</v>
      </c>
      <c r="C246" s="64" t="s">
        <v>11</v>
      </c>
      <c r="D246" s="64" t="s">
        <v>7</v>
      </c>
      <c r="E246" s="64" t="s">
        <v>279</v>
      </c>
      <c r="F246" s="64"/>
      <c r="G246" s="26"/>
      <c r="H246" s="49">
        <f>H247</f>
        <v>0</v>
      </c>
      <c r="I246" s="49">
        <f>I247</f>
        <v>249</v>
      </c>
      <c r="J246" s="49">
        <f>J247</f>
        <v>249</v>
      </c>
      <c r="K246" s="49">
        <f>K247</f>
        <v>0</v>
      </c>
      <c r="L246" s="49">
        <f>L247</f>
        <v>249</v>
      </c>
    </row>
    <row r="247" spans="1:12" ht="15" customHeight="1">
      <c r="A247" s="91" t="s">
        <v>394</v>
      </c>
      <c r="B247" s="64" t="s">
        <v>0</v>
      </c>
      <c r="C247" s="64" t="s">
        <v>11</v>
      </c>
      <c r="D247" s="64" t="s">
        <v>7</v>
      </c>
      <c r="E247" s="64" t="s">
        <v>279</v>
      </c>
      <c r="F247" s="64" t="s">
        <v>393</v>
      </c>
      <c r="G247" s="26"/>
      <c r="H247" s="49"/>
      <c r="I247" s="49">
        <v>249</v>
      </c>
      <c r="J247" s="49">
        <f>H247+I247</f>
        <v>249</v>
      </c>
      <c r="K247" s="49"/>
      <c r="L247" s="49">
        <f>J247+K247</f>
        <v>249</v>
      </c>
    </row>
    <row r="248" spans="1:12" ht="21.75" customHeight="1">
      <c r="A248" s="83" t="s">
        <v>313</v>
      </c>
      <c r="B248" s="64" t="s">
        <v>0</v>
      </c>
      <c r="C248" s="64" t="s">
        <v>11</v>
      </c>
      <c r="D248" s="64" t="s">
        <v>7</v>
      </c>
      <c r="E248" s="64" t="s">
        <v>314</v>
      </c>
      <c r="F248" s="64"/>
      <c r="G248" s="26"/>
      <c r="H248" s="49">
        <f>H249</f>
        <v>0</v>
      </c>
      <c r="I248" s="49">
        <f>I249</f>
        <v>375</v>
      </c>
      <c r="J248" s="49">
        <f>J249</f>
        <v>1977.688</v>
      </c>
      <c r="K248" s="49">
        <f>K249</f>
        <v>0</v>
      </c>
      <c r="L248" s="49">
        <f>L249</f>
        <v>1977.688</v>
      </c>
    </row>
    <row r="249" spans="1:12" ht="15" customHeight="1">
      <c r="A249" s="91" t="s">
        <v>394</v>
      </c>
      <c r="B249" s="64" t="s">
        <v>0</v>
      </c>
      <c r="C249" s="64" t="s">
        <v>11</v>
      </c>
      <c r="D249" s="64" t="s">
        <v>7</v>
      </c>
      <c r="E249" s="64" t="s">
        <v>314</v>
      </c>
      <c r="F249" s="64" t="s">
        <v>393</v>
      </c>
      <c r="G249" s="26"/>
      <c r="H249" s="49"/>
      <c r="I249" s="49">
        <v>375</v>
      </c>
      <c r="J249" s="49">
        <v>1977.688</v>
      </c>
      <c r="K249" s="49"/>
      <c r="L249" s="49">
        <f>J249+K249</f>
        <v>1977.688</v>
      </c>
    </row>
    <row r="250" spans="1:12" ht="39" customHeight="1">
      <c r="A250" s="91" t="s">
        <v>475</v>
      </c>
      <c r="B250" s="64" t="s">
        <v>0</v>
      </c>
      <c r="C250" s="64" t="s">
        <v>11</v>
      </c>
      <c r="D250" s="64" t="s">
        <v>7</v>
      </c>
      <c r="E250" s="64" t="s">
        <v>387</v>
      </c>
      <c r="F250" s="64"/>
      <c r="G250" s="26"/>
      <c r="H250" s="49">
        <f>H251</f>
        <v>0</v>
      </c>
      <c r="I250" s="49">
        <f>I251</f>
        <v>1251</v>
      </c>
      <c r="J250" s="49">
        <f>J251</f>
        <v>1251</v>
      </c>
      <c r="K250" s="49">
        <f>K251</f>
        <v>0</v>
      </c>
      <c r="L250" s="49">
        <f>L251</f>
        <v>1251</v>
      </c>
    </row>
    <row r="251" spans="1:12" ht="15" customHeight="1">
      <c r="A251" s="91" t="s">
        <v>394</v>
      </c>
      <c r="B251" s="64" t="s">
        <v>0</v>
      </c>
      <c r="C251" s="64" t="s">
        <v>11</v>
      </c>
      <c r="D251" s="64" t="s">
        <v>7</v>
      </c>
      <c r="E251" s="64" t="s">
        <v>387</v>
      </c>
      <c r="F251" s="64" t="s">
        <v>393</v>
      </c>
      <c r="G251" s="26"/>
      <c r="H251" s="49"/>
      <c r="I251" s="49">
        <v>1251</v>
      </c>
      <c r="J251" s="49">
        <f>H251+I251</f>
        <v>1251</v>
      </c>
      <c r="K251" s="49">
        <f>1251-1251</f>
        <v>0</v>
      </c>
      <c r="L251" s="49">
        <f>J251+K251</f>
        <v>1251</v>
      </c>
    </row>
    <row r="252" spans="1:12" s="27" customFormat="1" ht="14.25" customHeight="1">
      <c r="A252" s="93" t="s">
        <v>40</v>
      </c>
      <c r="B252" s="63" t="s">
        <v>0</v>
      </c>
      <c r="C252" s="63" t="s">
        <v>11</v>
      </c>
      <c r="D252" s="63" t="s">
        <v>8</v>
      </c>
      <c r="E252" s="63"/>
      <c r="F252" s="63"/>
      <c r="G252" s="40">
        <f aca="true" t="shared" si="18" ref="G252:L252">G255++G253</f>
        <v>0</v>
      </c>
      <c r="H252" s="40">
        <f t="shared" si="18"/>
        <v>0</v>
      </c>
      <c r="I252" s="40">
        <f t="shared" si="18"/>
        <v>0</v>
      </c>
      <c r="J252" s="47">
        <f t="shared" si="18"/>
        <v>730</v>
      </c>
      <c r="K252" s="47">
        <f t="shared" si="18"/>
        <v>0</v>
      </c>
      <c r="L252" s="47">
        <f t="shared" si="18"/>
        <v>730</v>
      </c>
    </row>
    <row r="253" spans="1:12" s="27" customFormat="1" ht="36" customHeight="1">
      <c r="A253" s="91" t="s">
        <v>391</v>
      </c>
      <c r="B253" s="64" t="s">
        <v>0</v>
      </c>
      <c r="C253" s="64" t="s">
        <v>11</v>
      </c>
      <c r="D253" s="64" t="s">
        <v>8</v>
      </c>
      <c r="E253" s="64" t="s">
        <v>392</v>
      </c>
      <c r="F253" s="63"/>
      <c r="G253" s="24"/>
      <c r="H253" s="47"/>
      <c r="I253" s="47"/>
      <c r="J253" s="49">
        <f>J254</f>
        <v>250</v>
      </c>
      <c r="K253" s="49">
        <f>K254</f>
        <v>0</v>
      </c>
      <c r="L253" s="49">
        <f>L254</f>
        <v>250</v>
      </c>
    </row>
    <row r="254" spans="1:12" ht="15" customHeight="1">
      <c r="A254" s="91" t="s">
        <v>394</v>
      </c>
      <c r="B254" s="64" t="s">
        <v>0</v>
      </c>
      <c r="C254" s="64" t="s">
        <v>11</v>
      </c>
      <c r="D254" s="64" t="s">
        <v>8</v>
      </c>
      <c r="E254" s="64" t="s">
        <v>392</v>
      </c>
      <c r="F254" s="64" t="s">
        <v>393</v>
      </c>
      <c r="G254" s="26"/>
      <c r="H254" s="49"/>
      <c r="I254" s="49">
        <v>380</v>
      </c>
      <c r="J254" s="49">
        <v>250</v>
      </c>
      <c r="K254" s="49"/>
      <c r="L254" s="49">
        <f>J254+K254</f>
        <v>250</v>
      </c>
    </row>
    <row r="255" spans="1:12" ht="32.25" customHeight="1">
      <c r="A255" s="85" t="s">
        <v>472</v>
      </c>
      <c r="B255" s="64" t="s">
        <v>0</v>
      </c>
      <c r="C255" s="64" t="s">
        <v>11</v>
      </c>
      <c r="D255" s="64" t="s">
        <v>8</v>
      </c>
      <c r="E255" s="64" t="s">
        <v>473</v>
      </c>
      <c r="F255" s="64"/>
      <c r="G255" s="26"/>
      <c r="H255" s="49">
        <f>H256</f>
        <v>0</v>
      </c>
      <c r="I255" s="49">
        <f>I256</f>
        <v>0</v>
      </c>
      <c r="J255" s="49">
        <f>J256</f>
        <v>480</v>
      </c>
      <c r="K255" s="49">
        <f>K256</f>
        <v>0</v>
      </c>
      <c r="L255" s="49">
        <f>L256</f>
        <v>480</v>
      </c>
    </row>
    <row r="256" spans="1:12" ht="15" customHeight="1">
      <c r="A256" s="91" t="s">
        <v>394</v>
      </c>
      <c r="B256" s="64" t="s">
        <v>0</v>
      </c>
      <c r="C256" s="64" t="s">
        <v>11</v>
      </c>
      <c r="D256" s="64" t="s">
        <v>8</v>
      </c>
      <c r="E256" s="64" t="s">
        <v>473</v>
      </c>
      <c r="F256" s="64" t="s">
        <v>393</v>
      </c>
      <c r="G256" s="26"/>
      <c r="H256" s="49"/>
      <c r="I256" s="49"/>
      <c r="J256" s="49">
        <v>480</v>
      </c>
      <c r="K256" s="49"/>
      <c r="L256" s="49">
        <f>J256+K256</f>
        <v>480</v>
      </c>
    </row>
    <row r="257" spans="1:12" s="27" customFormat="1" ht="18" customHeight="1">
      <c r="A257" s="76" t="s">
        <v>87</v>
      </c>
      <c r="B257" s="63" t="s">
        <v>0</v>
      </c>
      <c r="C257" s="63" t="s">
        <v>14</v>
      </c>
      <c r="D257" s="63"/>
      <c r="E257" s="63"/>
      <c r="F257" s="63"/>
      <c r="G257" s="24"/>
      <c r="H257" s="47">
        <f>H258</f>
        <v>0</v>
      </c>
      <c r="I257" s="47">
        <f aca="true" t="shared" si="19" ref="I257:L259">I258</f>
        <v>60</v>
      </c>
      <c r="J257" s="47">
        <f t="shared" si="19"/>
        <v>60</v>
      </c>
      <c r="K257" s="47">
        <f t="shared" si="19"/>
        <v>-44.699999999999996</v>
      </c>
      <c r="L257" s="47">
        <f t="shared" si="19"/>
        <v>15.3</v>
      </c>
    </row>
    <row r="258" spans="1:12" ht="15">
      <c r="A258" s="76" t="s">
        <v>141</v>
      </c>
      <c r="B258" s="63" t="s">
        <v>0</v>
      </c>
      <c r="C258" s="63" t="s">
        <v>14</v>
      </c>
      <c r="D258" s="63" t="s">
        <v>11</v>
      </c>
      <c r="E258" s="63"/>
      <c r="F258" s="63"/>
      <c r="G258" s="17" t="e">
        <f>G259+#REF!</f>
        <v>#REF!</v>
      </c>
      <c r="H258" s="47">
        <f>H259</f>
        <v>0</v>
      </c>
      <c r="I258" s="47">
        <f t="shared" si="19"/>
        <v>60</v>
      </c>
      <c r="J258" s="47">
        <f t="shared" si="19"/>
        <v>60</v>
      </c>
      <c r="K258" s="47">
        <f t="shared" si="19"/>
        <v>-44.699999999999996</v>
      </c>
      <c r="L258" s="47">
        <f t="shared" si="19"/>
        <v>15.3</v>
      </c>
    </row>
    <row r="259" spans="1:12" ht="23.25">
      <c r="A259" s="77" t="s">
        <v>88</v>
      </c>
      <c r="B259" s="64" t="s">
        <v>0</v>
      </c>
      <c r="C259" s="64" t="s">
        <v>14</v>
      </c>
      <c r="D259" s="64" t="s">
        <v>11</v>
      </c>
      <c r="E259" s="64" t="s">
        <v>89</v>
      </c>
      <c r="F259" s="64"/>
      <c r="G259" s="22">
        <f>G260</f>
        <v>0</v>
      </c>
      <c r="H259" s="49">
        <f>H260</f>
        <v>0</v>
      </c>
      <c r="I259" s="49">
        <f t="shared" si="19"/>
        <v>60</v>
      </c>
      <c r="J259" s="49">
        <f t="shared" si="19"/>
        <v>60</v>
      </c>
      <c r="K259" s="49">
        <f t="shared" si="19"/>
        <v>-44.699999999999996</v>
      </c>
      <c r="L259" s="49">
        <f t="shared" si="19"/>
        <v>15.3</v>
      </c>
    </row>
    <row r="260" spans="1:12" ht="23.25">
      <c r="A260" s="77" t="s">
        <v>90</v>
      </c>
      <c r="B260" s="64" t="s">
        <v>0</v>
      </c>
      <c r="C260" s="64" t="s">
        <v>14</v>
      </c>
      <c r="D260" s="64" t="s">
        <v>11</v>
      </c>
      <c r="E260" s="64" t="s">
        <v>91</v>
      </c>
      <c r="F260" s="64"/>
      <c r="G260" s="22">
        <f>G263</f>
        <v>0</v>
      </c>
      <c r="H260" s="49">
        <f>H261+H262</f>
        <v>0</v>
      </c>
      <c r="I260" s="49">
        <f>I261+I262</f>
        <v>60</v>
      </c>
      <c r="J260" s="49">
        <f>J261+J262</f>
        <v>60</v>
      </c>
      <c r="K260" s="49">
        <f>K261+K262</f>
        <v>-44.699999999999996</v>
      </c>
      <c r="L260" s="49">
        <f>L261+L262</f>
        <v>15.3</v>
      </c>
    </row>
    <row r="261" spans="1:12" ht="33.75">
      <c r="A261" s="79" t="s">
        <v>153</v>
      </c>
      <c r="B261" s="64" t="s">
        <v>0</v>
      </c>
      <c r="C261" s="64" t="s">
        <v>14</v>
      </c>
      <c r="D261" s="64" t="s">
        <v>11</v>
      </c>
      <c r="E261" s="64" t="s">
        <v>91</v>
      </c>
      <c r="F261" s="64" t="s">
        <v>154</v>
      </c>
      <c r="G261" s="22"/>
      <c r="H261" s="49"/>
      <c r="I261" s="49">
        <v>6</v>
      </c>
      <c r="J261" s="49">
        <f>H261+I261</f>
        <v>6</v>
      </c>
      <c r="K261" s="49">
        <v>-4.8</v>
      </c>
      <c r="L261" s="49">
        <f>J261+K261</f>
        <v>1.2000000000000002</v>
      </c>
    </row>
    <row r="262" spans="1:12" ht="33.75">
      <c r="A262" s="79" t="s">
        <v>499</v>
      </c>
      <c r="B262" s="64" t="s">
        <v>0</v>
      </c>
      <c r="C262" s="64" t="s">
        <v>14</v>
      </c>
      <c r="D262" s="64" t="s">
        <v>11</v>
      </c>
      <c r="E262" s="64" t="s">
        <v>91</v>
      </c>
      <c r="F262" s="64" t="s">
        <v>147</v>
      </c>
      <c r="G262" s="22"/>
      <c r="H262" s="49"/>
      <c r="I262" s="49">
        <v>54</v>
      </c>
      <c r="J262" s="49">
        <f>H262+I262</f>
        <v>54</v>
      </c>
      <c r="K262" s="49">
        <v>-39.9</v>
      </c>
      <c r="L262" s="49">
        <f>J262+K262</f>
        <v>14.100000000000001</v>
      </c>
    </row>
    <row r="263" spans="1:12" s="27" customFormat="1" ht="14.25" customHeight="1">
      <c r="A263" s="92" t="s">
        <v>375</v>
      </c>
      <c r="B263" s="63" t="s">
        <v>0</v>
      </c>
      <c r="C263" s="63" t="s">
        <v>34</v>
      </c>
      <c r="D263" s="63"/>
      <c r="E263" s="63"/>
      <c r="F263" s="63"/>
      <c r="G263" s="24"/>
      <c r="H263" s="47">
        <f>H264</f>
        <v>0</v>
      </c>
      <c r="I263" s="47">
        <f aca="true" t="shared" si="20" ref="I263:L265">I264</f>
        <v>860</v>
      </c>
      <c r="J263" s="47">
        <f t="shared" si="20"/>
        <v>1455</v>
      </c>
      <c r="K263" s="47">
        <f t="shared" si="20"/>
        <v>0</v>
      </c>
      <c r="L263" s="47">
        <f t="shared" si="20"/>
        <v>1455</v>
      </c>
    </row>
    <row r="264" spans="1:12" s="27" customFormat="1" ht="14.25" customHeight="1">
      <c r="A264" s="92" t="s">
        <v>421</v>
      </c>
      <c r="B264" s="63" t="s">
        <v>0</v>
      </c>
      <c r="C264" s="63" t="s">
        <v>34</v>
      </c>
      <c r="D264" s="63" t="s">
        <v>6</v>
      </c>
      <c r="E264" s="63"/>
      <c r="F264" s="63"/>
      <c r="G264" s="24"/>
      <c r="H264" s="47">
        <f>H265</f>
        <v>0</v>
      </c>
      <c r="I264" s="47">
        <f t="shared" si="20"/>
        <v>860</v>
      </c>
      <c r="J264" s="47">
        <f t="shared" si="20"/>
        <v>1455</v>
      </c>
      <c r="K264" s="47">
        <f t="shared" si="20"/>
        <v>0</v>
      </c>
      <c r="L264" s="47">
        <f t="shared" si="20"/>
        <v>1455</v>
      </c>
    </row>
    <row r="265" spans="1:12" ht="32.25" customHeight="1">
      <c r="A265" s="91" t="s">
        <v>391</v>
      </c>
      <c r="B265" s="64" t="s">
        <v>0</v>
      </c>
      <c r="C265" s="64" t="s">
        <v>34</v>
      </c>
      <c r="D265" s="64" t="s">
        <v>6</v>
      </c>
      <c r="E265" s="64" t="s">
        <v>392</v>
      </c>
      <c r="F265" s="64"/>
      <c r="G265" s="26"/>
      <c r="H265" s="49">
        <f>H266</f>
        <v>0</v>
      </c>
      <c r="I265" s="49">
        <f t="shared" si="20"/>
        <v>860</v>
      </c>
      <c r="J265" s="49">
        <f t="shared" si="20"/>
        <v>1455</v>
      </c>
      <c r="K265" s="49">
        <f t="shared" si="20"/>
        <v>0</v>
      </c>
      <c r="L265" s="49">
        <f t="shared" si="20"/>
        <v>1455</v>
      </c>
    </row>
    <row r="266" spans="1:12" ht="15" customHeight="1">
      <c r="A266" s="91" t="s">
        <v>394</v>
      </c>
      <c r="B266" s="64" t="s">
        <v>0</v>
      </c>
      <c r="C266" s="64" t="s">
        <v>34</v>
      </c>
      <c r="D266" s="64" t="s">
        <v>6</v>
      </c>
      <c r="E266" s="64" t="s">
        <v>392</v>
      </c>
      <c r="F266" s="64" t="s">
        <v>393</v>
      </c>
      <c r="G266" s="26"/>
      <c r="H266" s="49"/>
      <c r="I266" s="49">
        <v>860</v>
      </c>
      <c r="J266" s="49">
        <v>1455</v>
      </c>
      <c r="K266" s="49"/>
      <c r="L266" s="49">
        <f>J266+K266</f>
        <v>1455</v>
      </c>
    </row>
    <row r="267" spans="1:12" s="27" customFormat="1" ht="14.25" customHeight="1">
      <c r="A267" s="92" t="s">
        <v>58</v>
      </c>
      <c r="B267" s="63" t="s">
        <v>0</v>
      </c>
      <c r="C267" s="63" t="s">
        <v>16</v>
      </c>
      <c r="D267" s="63"/>
      <c r="E267" s="63"/>
      <c r="F267" s="63"/>
      <c r="G267" s="24"/>
      <c r="H267" s="47">
        <f aca="true" t="shared" si="21" ref="H267:L269">H268</f>
        <v>0</v>
      </c>
      <c r="I267" s="47">
        <f t="shared" si="21"/>
        <v>570</v>
      </c>
      <c r="J267" s="47">
        <f t="shared" si="21"/>
        <v>1393</v>
      </c>
      <c r="K267" s="47">
        <f t="shared" si="21"/>
        <v>0</v>
      </c>
      <c r="L267" s="47">
        <f t="shared" si="21"/>
        <v>1393</v>
      </c>
    </row>
    <row r="268" spans="1:12" s="27" customFormat="1" ht="14.25" customHeight="1">
      <c r="A268" s="92" t="s">
        <v>70</v>
      </c>
      <c r="B268" s="63" t="s">
        <v>0</v>
      </c>
      <c r="C268" s="63" t="s">
        <v>16</v>
      </c>
      <c r="D268" s="63" t="s">
        <v>6</v>
      </c>
      <c r="E268" s="63"/>
      <c r="F268" s="63"/>
      <c r="G268" s="24"/>
      <c r="H268" s="47">
        <f t="shared" si="21"/>
        <v>0</v>
      </c>
      <c r="I268" s="47">
        <f t="shared" si="21"/>
        <v>570</v>
      </c>
      <c r="J268" s="47">
        <f t="shared" si="21"/>
        <v>1393</v>
      </c>
      <c r="K268" s="47">
        <f t="shared" si="21"/>
        <v>0</v>
      </c>
      <c r="L268" s="47">
        <f t="shared" si="21"/>
        <v>1393</v>
      </c>
    </row>
    <row r="269" spans="1:12" ht="32.25" customHeight="1">
      <c r="A269" s="91" t="s">
        <v>391</v>
      </c>
      <c r="B269" s="64" t="s">
        <v>0</v>
      </c>
      <c r="C269" s="64" t="s">
        <v>16</v>
      </c>
      <c r="D269" s="64" t="s">
        <v>6</v>
      </c>
      <c r="E269" s="64" t="s">
        <v>392</v>
      </c>
      <c r="F269" s="64"/>
      <c r="G269" s="26"/>
      <c r="H269" s="49">
        <f t="shared" si="21"/>
        <v>0</v>
      </c>
      <c r="I269" s="49">
        <f t="shared" si="21"/>
        <v>570</v>
      </c>
      <c r="J269" s="49">
        <f t="shared" si="21"/>
        <v>1393</v>
      </c>
      <c r="K269" s="49">
        <f t="shared" si="21"/>
        <v>0</v>
      </c>
      <c r="L269" s="49">
        <f t="shared" si="21"/>
        <v>1393</v>
      </c>
    </row>
    <row r="270" spans="1:12" ht="15" customHeight="1">
      <c r="A270" s="91" t="s">
        <v>394</v>
      </c>
      <c r="B270" s="64" t="s">
        <v>0</v>
      </c>
      <c r="C270" s="64" t="s">
        <v>16</v>
      </c>
      <c r="D270" s="64" t="s">
        <v>6</v>
      </c>
      <c r="E270" s="64" t="s">
        <v>392</v>
      </c>
      <c r="F270" s="64" t="s">
        <v>393</v>
      </c>
      <c r="G270" s="26"/>
      <c r="H270" s="49"/>
      <c r="I270" s="49">
        <v>570</v>
      </c>
      <c r="J270" s="49">
        <v>1393</v>
      </c>
      <c r="K270" s="49"/>
      <c r="L270" s="49">
        <f>J270+K270</f>
        <v>1393</v>
      </c>
    </row>
    <row r="271" spans="1:12" ht="18.75" customHeight="1">
      <c r="A271" s="92" t="s">
        <v>73</v>
      </c>
      <c r="B271" s="63" t="s">
        <v>0</v>
      </c>
      <c r="C271" s="63" t="s">
        <v>18</v>
      </c>
      <c r="D271" s="63"/>
      <c r="E271" s="64"/>
      <c r="F271" s="64"/>
      <c r="G271" s="22" t="e">
        <f>#REF!</f>
        <v>#REF!</v>
      </c>
      <c r="H271" s="47">
        <f>H273</f>
        <v>45.04</v>
      </c>
      <c r="I271" s="47">
        <f>I273</f>
        <v>154.96</v>
      </c>
      <c r="J271" s="47">
        <f>J273</f>
        <v>200</v>
      </c>
      <c r="K271" s="47">
        <f>K273</f>
        <v>66.22197</v>
      </c>
      <c r="L271" s="47">
        <f>L273</f>
        <v>266.22197</v>
      </c>
    </row>
    <row r="272" spans="1:12" ht="27.75" customHeight="1">
      <c r="A272" s="92" t="s">
        <v>75</v>
      </c>
      <c r="B272" s="63" t="s">
        <v>0</v>
      </c>
      <c r="C272" s="63" t="s">
        <v>18</v>
      </c>
      <c r="D272" s="63" t="s">
        <v>6</v>
      </c>
      <c r="E272" s="64"/>
      <c r="F272" s="64"/>
      <c r="G272" s="22"/>
      <c r="H272" s="47">
        <f aca="true" t="shared" si="22" ref="H272:L273">H273</f>
        <v>45.04</v>
      </c>
      <c r="I272" s="47">
        <f t="shared" si="22"/>
        <v>154.96</v>
      </c>
      <c r="J272" s="47">
        <f t="shared" si="22"/>
        <v>200</v>
      </c>
      <c r="K272" s="47">
        <f t="shared" si="22"/>
        <v>66.22197</v>
      </c>
      <c r="L272" s="47">
        <f t="shared" si="22"/>
        <v>266.22197</v>
      </c>
    </row>
    <row r="273" spans="1:12" ht="17.25" customHeight="1">
      <c r="A273" s="91" t="s">
        <v>194</v>
      </c>
      <c r="B273" s="64" t="s">
        <v>0</v>
      </c>
      <c r="C273" s="64" t="s">
        <v>18</v>
      </c>
      <c r="D273" s="64" t="s">
        <v>6</v>
      </c>
      <c r="E273" s="64" t="s">
        <v>229</v>
      </c>
      <c r="F273" s="64"/>
      <c r="G273" s="22" t="e">
        <f>#REF!</f>
        <v>#REF!</v>
      </c>
      <c r="H273" s="49">
        <f t="shared" si="22"/>
        <v>45.04</v>
      </c>
      <c r="I273" s="49">
        <f t="shared" si="22"/>
        <v>154.96</v>
      </c>
      <c r="J273" s="49">
        <f t="shared" si="22"/>
        <v>200</v>
      </c>
      <c r="K273" s="49">
        <f t="shared" si="22"/>
        <v>66.22197</v>
      </c>
      <c r="L273" s="49">
        <f t="shared" si="22"/>
        <v>266.22197</v>
      </c>
    </row>
    <row r="274" spans="1:12" ht="16.5" customHeight="1">
      <c r="A274" s="91" t="s">
        <v>195</v>
      </c>
      <c r="B274" s="64" t="s">
        <v>0</v>
      </c>
      <c r="C274" s="64" t="s">
        <v>18</v>
      </c>
      <c r="D274" s="64" t="s">
        <v>6</v>
      </c>
      <c r="E274" s="64" t="s">
        <v>230</v>
      </c>
      <c r="F274" s="64"/>
      <c r="G274" s="22"/>
      <c r="H274" s="49">
        <f>H275+H276</f>
        <v>45.04</v>
      </c>
      <c r="I274" s="49">
        <f>I275+I276</f>
        <v>154.96</v>
      </c>
      <c r="J274" s="49">
        <f>J275+J276</f>
        <v>200</v>
      </c>
      <c r="K274" s="49">
        <f>K275+K276</f>
        <v>66.22197</v>
      </c>
      <c r="L274" s="49">
        <f>L275+L276</f>
        <v>266.22197</v>
      </c>
    </row>
    <row r="275" spans="1:12" ht="15.75" customHeight="1" hidden="1">
      <c r="A275" s="91" t="s">
        <v>196</v>
      </c>
      <c r="B275" s="64" t="s">
        <v>0</v>
      </c>
      <c r="C275" s="64" t="s">
        <v>18</v>
      </c>
      <c r="D275" s="64" t="s">
        <v>6</v>
      </c>
      <c r="E275" s="64" t="s">
        <v>230</v>
      </c>
      <c r="F275" s="64" t="s">
        <v>197</v>
      </c>
      <c r="G275" s="22"/>
      <c r="H275" s="49"/>
      <c r="I275" s="49"/>
      <c r="J275" s="49">
        <f>H275+I275</f>
        <v>0</v>
      </c>
      <c r="K275" s="49"/>
      <c r="L275" s="49">
        <f>J275+K275</f>
        <v>0</v>
      </c>
    </row>
    <row r="276" spans="1:12" ht="22.5" customHeight="1">
      <c r="A276" s="79" t="s">
        <v>231</v>
      </c>
      <c r="B276" s="64" t="s">
        <v>0</v>
      </c>
      <c r="C276" s="64" t="s">
        <v>18</v>
      </c>
      <c r="D276" s="64" t="s">
        <v>6</v>
      </c>
      <c r="E276" s="64" t="s">
        <v>230</v>
      </c>
      <c r="F276" s="64" t="s">
        <v>232</v>
      </c>
      <c r="G276" s="22"/>
      <c r="H276" s="49">
        <v>45.04</v>
      </c>
      <c r="I276" s="49">
        <v>154.96</v>
      </c>
      <c r="J276" s="49">
        <f>H276+I276</f>
        <v>200</v>
      </c>
      <c r="K276" s="49">
        <f>66.22197</f>
        <v>66.22197</v>
      </c>
      <c r="L276" s="49">
        <f>J276+K276</f>
        <v>266.22197</v>
      </c>
    </row>
    <row r="277" spans="1:12" ht="39.75" customHeight="1">
      <c r="A277" s="92" t="s">
        <v>233</v>
      </c>
      <c r="B277" s="63" t="s">
        <v>0</v>
      </c>
      <c r="C277" s="63" t="s">
        <v>20</v>
      </c>
      <c r="D277" s="63" t="s">
        <v>206</v>
      </c>
      <c r="E277" s="63"/>
      <c r="F277" s="63"/>
      <c r="G277" s="17"/>
      <c r="H277" s="47">
        <f>H278+H286</f>
        <v>29125.9</v>
      </c>
      <c r="I277" s="47">
        <f>I278+I286</f>
        <v>5772.5</v>
      </c>
      <c r="J277" s="47">
        <f>J278+J286</f>
        <v>35671.08</v>
      </c>
      <c r="K277" s="47">
        <f>K278+K286</f>
        <v>27.458699999999993</v>
      </c>
      <c r="L277" s="47">
        <f>L278+L286</f>
        <v>35698.538700000005</v>
      </c>
    </row>
    <row r="278" spans="1:12" ht="33">
      <c r="A278" s="92" t="s">
        <v>234</v>
      </c>
      <c r="B278" s="63" t="s">
        <v>0</v>
      </c>
      <c r="C278" s="63" t="s">
        <v>20</v>
      </c>
      <c r="D278" s="63" t="s">
        <v>6</v>
      </c>
      <c r="E278" s="63"/>
      <c r="F278" s="63"/>
      <c r="G278" s="17"/>
      <c r="H278" s="47">
        <f>H279</f>
        <v>29125.9</v>
      </c>
      <c r="I278" s="47">
        <f>I279</f>
        <v>5772.5</v>
      </c>
      <c r="J278" s="47">
        <f>J279</f>
        <v>34898.4</v>
      </c>
      <c r="K278" s="47">
        <f>K279</f>
        <v>0</v>
      </c>
      <c r="L278" s="47">
        <f>L279</f>
        <v>34898.4</v>
      </c>
    </row>
    <row r="279" spans="1:12" ht="18" customHeight="1">
      <c r="A279" s="77" t="s">
        <v>235</v>
      </c>
      <c r="B279" s="64" t="s">
        <v>0</v>
      </c>
      <c r="C279" s="64" t="s">
        <v>20</v>
      </c>
      <c r="D279" s="64" t="s">
        <v>6</v>
      </c>
      <c r="E279" s="64" t="s">
        <v>236</v>
      </c>
      <c r="F279" s="64"/>
      <c r="G279" s="22"/>
      <c r="H279" s="49">
        <f>H280+H283</f>
        <v>29125.9</v>
      </c>
      <c r="I279" s="49">
        <f>I280+I283</f>
        <v>5772.5</v>
      </c>
      <c r="J279" s="49">
        <f>H279+I279</f>
        <v>34898.4</v>
      </c>
      <c r="K279" s="49">
        <f>K280+K283</f>
        <v>0</v>
      </c>
      <c r="L279" s="49">
        <f>J279+K279</f>
        <v>34898.4</v>
      </c>
    </row>
    <row r="280" spans="1:12" ht="24" customHeight="1">
      <c r="A280" s="77" t="s">
        <v>237</v>
      </c>
      <c r="B280" s="64" t="s">
        <v>0</v>
      </c>
      <c r="C280" s="64" t="s">
        <v>20</v>
      </c>
      <c r="D280" s="64" t="s">
        <v>6</v>
      </c>
      <c r="E280" s="64" t="s">
        <v>226</v>
      </c>
      <c r="F280" s="64"/>
      <c r="G280" s="22"/>
      <c r="H280" s="49">
        <f>H281+H282</f>
        <v>9883.1</v>
      </c>
      <c r="I280" s="49">
        <f>I281+I282</f>
        <v>-416.8</v>
      </c>
      <c r="J280" s="49">
        <f>J281+J282</f>
        <v>9466.300000000001</v>
      </c>
      <c r="K280" s="49">
        <f>K281+K282</f>
        <v>0</v>
      </c>
      <c r="L280" s="49">
        <f>L281+L282</f>
        <v>9466.300000000001</v>
      </c>
    </row>
    <row r="281" spans="1:12" ht="14.25" customHeight="1" hidden="1">
      <c r="A281" s="77" t="s">
        <v>238</v>
      </c>
      <c r="B281" s="64" t="s">
        <v>0</v>
      </c>
      <c r="C281" s="64" t="s">
        <v>20</v>
      </c>
      <c r="D281" s="64" t="s">
        <v>6</v>
      </c>
      <c r="E281" s="64" t="s">
        <v>226</v>
      </c>
      <c r="F281" s="64" t="s">
        <v>227</v>
      </c>
      <c r="G281" s="22"/>
      <c r="H281" s="49"/>
      <c r="I281" s="49"/>
      <c r="J281" s="49">
        <f>H281+I281</f>
        <v>0</v>
      </c>
      <c r="K281" s="49"/>
      <c r="L281" s="49">
        <f>J281+K281</f>
        <v>0</v>
      </c>
    </row>
    <row r="282" spans="1:12" ht="22.5">
      <c r="A282" s="79" t="s">
        <v>239</v>
      </c>
      <c r="B282" s="64" t="s">
        <v>0</v>
      </c>
      <c r="C282" s="64" t="s">
        <v>20</v>
      </c>
      <c r="D282" s="64" t="s">
        <v>6</v>
      </c>
      <c r="E282" s="64" t="s">
        <v>226</v>
      </c>
      <c r="F282" s="64" t="s">
        <v>240</v>
      </c>
      <c r="G282" s="22"/>
      <c r="H282" s="49">
        <v>9883.1</v>
      </c>
      <c r="I282" s="49">
        <v>-416.8</v>
      </c>
      <c r="J282" s="49">
        <f>H282+I282</f>
        <v>9466.300000000001</v>
      </c>
      <c r="K282" s="49"/>
      <c r="L282" s="49">
        <f>J282+K282</f>
        <v>9466.300000000001</v>
      </c>
    </row>
    <row r="283" spans="1:12" ht="34.5">
      <c r="A283" s="77" t="s">
        <v>241</v>
      </c>
      <c r="B283" s="64" t="s">
        <v>0</v>
      </c>
      <c r="C283" s="64" t="s">
        <v>20</v>
      </c>
      <c r="D283" s="64" t="s">
        <v>6</v>
      </c>
      <c r="E283" s="64" t="s">
        <v>228</v>
      </c>
      <c r="F283" s="64"/>
      <c r="G283" s="22"/>
      <c r="H283" s="49">
        <f>H284+H285</f>
        <v>19242.8</v>
      </c>
      <c r="I283" s="49">
        <f>I284+I285</f>
        <v>6189.3</v>
      </c>
      <c r="J283" s="49">
        <f>J284+J285</f>
        <v>25432.1</v>
      </c>
      <c r="K283" s="49">
        <f>K284+K285</f>
        <v>0</v>
      </c>
      <c r="L283" s="49">
        <f>L284+L285</f>
        <v>25432.1</v>
      </c>
    </row>
    <row r="284" spans="1:12" ht="15" customHeight="1" hidden="1">
      <c r="A284" s="77" t="s">
        <v>238</v>
      </c>
      <c r="B284" s="64" t="s">
        <v>0</v>
      </c>
      <c r="C284" s="64" t="s">
        <v>20</v>
      </c>
      <c r="D284" s="64" t="s">
        <v>6</v>
      </c>
      <c r="E284" s="64" t="s">
        <v>228</v>
      </c>
      <c r="F284" s="64" t="s">
        <v>227</v>
      </c>
      <c r="G284" s="22"/>
      <c r="H284" s="49"/>
      <c r="I284" s="49"/>
      <c r="J284" s="49">
        <f>H284+I284</f>
        <v>0</v>
      </c>
      <c r="K284" s="49"/>
      <c r="L284" s="49">
        <f>J284+K284</f>
        <v>0</v>
      </c>
    </row>
    <row r="285" spans="1:12" ht="22.5">
      <c r="A285" s="79" t="s">
        <v>239</v>
      </c>
      <c r="B285" s="64" t="s">
        <v>0</v>
      </c>
      <c r="C285" s="64" t="s">
        <v>20</v>
      </c>
      <c r="D285" s="64" t="s">
        <v>6</v>
      </c>
      <c r="E285" s="64" t="s">
        <v>228</v>
      </c>
      <c r="F285" s="64" t="s">
        <v>240</v>
      </c>
      <c r="G285" s="22"/>
      <c r="H285" s="49">
        <v>19242.8</v>
      </c>
      <c r="I285" s="49">
        <v>6189.3</v>
      </c>
      <c r="J285" s="49">
        <f>H285+I285</f>
        <v>25432.1</v>
      </c>
      <c r="K285" s="49"/>
      <c r="L285" s="49">
        <f>J285+K285</f>
        <v>25432.1</v>
      </c>
    </row>
    <row r="286" spans="1:12" ht="32.25" customHeight="1">
      <c r="A286" s="92" t="s">
        <v>79</v>
      </c>
      <c r="B286" s="63" t="s">
        <v>0</v>
      </c>
      <c r="C286" s="63" t="s">
        <v>20</v>
      </c>
      <c r="D286" s="63" t="s">
        <v>8</v>
      </c>
      <c r="E286" s="63"/>
      <c r="F286" s="63"/>
      <c r="G286" s="17"/>
      <c r="H286" s="47">
        <f>H287+H289</f>
        <v>0</v>
      </c>
      <c r="I286" s="47">
        <f>I287+I289</f>
        <v>0</v>
      </c>
      <c r="J286" s="47">
        <f>J287+J289</f>
        <v>772.68</v>
      </c>
      <c r="K286" s="47">
        <f>K287+K289</f>
        <v>27.458699999999993</v>
      </c>
      <c r="L286" s="47">
        <f>L287+L289</f>
        <v>800.1387</v>
      </c>
    </row>
    <row r="287" spans="1:12" ht="32.25" customHeight="1">
      <c r="A287" s="91" t="s">
        <v>391</v>
      </c>
      <c r="B287" s="64" t="s">
        <v>0</v>
      </c>
      <c r="C287" s="64" t="s">
        <v>20</v>
      </c>
      <c r="D287" s="64" t="s">
        <v>8</v>
      </c>
      <c r="E287" s="64" t="s">
        <v>392</v>
      </c>
      <c r="F287" s="64"/>
      <c r="G287" s="22"/>
      <c r="H287" s="49">
        <f>H288</f>
        <v>0</v>
      </c>
      <c r="I287" s="49">
        <f>I288</f>
        <v>0</v>
      </c>
      <c r="J287" s="49">
        <f>J288</f>
        <v>184.28</v>
      </c>
      <c r="K287" s="49">
        <f>K288</f>
        <v>276.2</v>
      </c>
      <c r="L287" s="49">
        <f>L288</f>
        <v>460.48</v>
      </c>
    </row>
    <row r="288" spans="1:12" ht="15" customHeight="1">
      <c r="A288" s="91" t="s">
        <v>394</v>
      </c>
      <c r="B288" s="64" t="s">
        <v>0</v>
      </c>
      <c r="C288" s="64" t="s">
        <v>20</v>
      </c>
      <c r="D288" s="64" t="s">
        <v>8</v>
      </c>
      <c r="E288" s="64" t="s">
        <v>392</v>
      </c>
      <c r="F288" s="64" t="s">
        <v>393</v>
      </c>
      <c r="G288" s="22"/>
      <c r="H288" s="49"/>
      <c r="I288" s="49"/>
      <c r="J288" s="49">
        <v>184.28</v>
      </c>
      <c r="K288" s="49">
        <v>276.2</v>
      </c>
      <c r="L288" s="49">
        <f>J288+K288</f>
        <v>460.48</v>
      </c>
    </row>
    <row r="289" spans="1:12" ht="22.5" customHeight="1">
      <c r="A289" s="90" t="s">
        <v>435</v>
      </c>
      <c r="B289" s="64" t="s">
        <v>0</v>
      </c>
      <c r="C289" s="64" t="s">
        <v>20</v>
      </c>
      <c r="D289" s="64" t="s">
        <v>8</v>
      </c>
      <c r="E289" s="64" t="s">
        <v>427</v>
      </c>
      <c r="F289" s="64"/>
      <c r="G289" s="22"/>
      <c r="H289" s="49">
        <f>H290</f>
        <v>0</v>
      </c>
      <c r="I289" s="49">
        <f>I290</f>
        <v>0</v>
      </c>
      <c r="J289" s="49">
        <f>J290</f>
        <v>588.4</v>
      </c>
      <c r="K289" s="49">
        <f>K290</f>
        <v>-248.7413</v>
      </c>
      <c r="L289" s="49">
        <f>L290</f>
        <v>339.65869999999995</v>
      </c>
    </row>
    <row r="290" spans="1:12" ht="15" customHeight="1">
      <c r="A290" s="91" t="s">
        <v>394</v>
      </c>
      <c r="B290" s="64" t="s">
        <v>0</v>
      </c>
      <c r="C290" s="64" t="s">
        <v>20</v>
      </c>
      <c r="D290" s="64" t="s">
        <v>8</v>
      </c>
      <c r="E290" s="64" t="s">
        <v>427</v>
      </c>
      <c r="F290" s="64" t="s">
        <v>393</v>
      </c>
      <c r="G290" s="22"/>
      <c r="H290" s="49"/>
      <c r="I290" s="49"/>
      <c r="J290" s="49">
        <v>588.4</v>
      </c>
      <c r="K290" s="49">
        <v>-248.7413</v>
      </c>
      <c r="L290" s="49">
        <f>J290+K290</f>
        <v>339.65869999999995</v>
      </c>
    </row>
    <row r="291" spans="1:12" ht="15">
      <c r="A291" s="78" t="s">
        <v>257</v>
      </c>
      <c r="B291" s="68" t="s">
        <v>258</v>
      </c>
      <c r="C291" s="68"/>
      <c r="D291" s="68"/>
      <c r="E291" s="68"/>
      <c r="F291" s="68"/>
      <c r="G291" s="37" t="e">
        <f>G292+G385+G417+G460+G512+#REF!+#REF!+G370</f>
        <v>#REF!</v>
      </c>
      <c r="H291" s="50" t="e">
        <f>H292+H370+H385+H417+H460+H512+H532+H584+H522</f>
        <v>#REF!</v>
      </c>
      <c r="I291" s="50" t="e">
        <f>I292+I370+I385+I417+I460+I512+I532+I584+I522</f>
        <v>#REF!</v>
      </c>
      <c r="J291" s="50">
        <f>J292+J370+J385+J417+J460+J512+J532+J584+J522+J456</f>
        <v>74765.3991</v>
      </c>
      <c r="K291" s="50">
        <f>K292+K370+K385+K417+K460+K512+K532+K584+K522+K456</f>
        <v>15738.29783</v>
      </c>
      <c r="L291" s="50">
        <f>L292+L370+L385+L417+L460+L512+L532+L584+L522+L456</f>
        <v>90503.69693000002</v>
      </c>
    </row>
    <row r="292" spans="1:12" s="31" customFormat="1" ht="14.25">
      <c r="A292" s="89" t="s">
        <v>4</v>
      </c>
      <c r="B292" s="63" t="s">
        <v>258</v>
      </c>
      <c r="C292" s="63" t="s">
        <v>6</v>
      </c>
      <c r="D292" s="63"/>
      <c r="E292" s="63"/>
      <c r="F292" s="63"/>
      <c r="G292" s="18" t="e">
        <f>G293+G298+G308+#REF!+G339+#REF!</f>
        <v>#REF!</v>
      </c>
      <c r="H292" s="47">
        <f>H293+H298+H308+H329+H339+H345+H333</f>
        <v>19625.530000000002</v>
      </c>
      <c r="I292" s="47">
        <f>I293+I298+I308+I329+I339+I345+I333</f>
        <v>2048.6456</v>
      </c>
      <c r="J292" s="47">
        <f>J293+J298+J308+J329+J339+J345+J333</f>
        <v>23062.2156</v>
      </c>
      <c r="K292" s="47">
        <f>K293+K298+K308+K329+K339+K345+K333</f>
        <v>2305.8979999999997</v>
      </c>
      <c r="L292" s="47">
        <f>L293+L298+L308+L329+L339+L345+L333</f>
        <v>25368.1136</v>
      </c>
    </row>
    <row r="293" spans="1:12" s="27" customFormat="1" ht="27" customHeight="1">
      <c r="A293" s="89" t="s">
        <v>498</v>
      </c>
      <c r="B293" s="63" t="s">
        <v>258</v>
      </c>
      <c r="C293" s="63" t="s">
        <v>6</v>
      </c>
      <c r="D293" s="63" t="s">
        <v>7</v>
      </c>
      <c r="E293" s="63"/>
      <c r="F293" s="63"/>
      <c r="G293" s="17" t="e">
        <f aca="true" t="shared" si="23" ref="G293:L294">G294</f>
        <v>#REF!</v>
      </c>
      <c r="H293" s="51">
        <f t="shared" si="23"/>
        <v>1047.9</v>
      </c>
      <c r="I293" s="47">
        <f>I294</f>
        <v>216.64</v>
      </c>
      <c r="J293" s="47">
        <f t="shared" si="23"/>
        <v>1264.54</v>
      </c>
      <c r="K293" s="47">
        <f>K294</f>
        <v>114.92</v>
      </c>
      <c r="L293" s="47">
        <f t="shared" si="23"/>
        <v>1379.46</v>
      </c>
    </row>
    <row r="294" spans="1:12" ht="23.25">
      <c r="A294" s="90" t="s">
        <v>250</v>
      </c>
      <c r="B294" s="64" t="s">
        <v>258</v>
      </c>
      <c r="C294" s="64" t="s">
        <v>6</v>
      </c>
      <c r="D294" s="64" t="s">
        <v>7</v>
      </c>
      <c r="E294" s="64" t="s">
        <v>115</v>
      </c>
      <c r="F294" s="64"/>
      <c r="G294" s="22" t="e">
        <f t="shared" si="23"/>
        <v>#REF!</v>
      </c>
      <c r="H294" s="52">
        <f t="shared" si="23"/>
        <v>1047.9</v>
      </c>
      <c r="I294" s="49">
        <f>I295</f>
        <v>216.64</v>
      </c>
      <c r="J294" s="49">
        <f t="shared" si="23"/>
        <v>1264.54</v>
      </c>
      <c r="K294" s="49">
        <f>K295</f>
        <v>114.92</v>
      </c>
      <c r="L294" s="49">
        <f t="shared" si="23"/>
        <v>1379.46</v>
      </c>
    </row>
    <row r="295" spans="1:12" ht="15">
      <c r="A295" s="90" t="s">
        <v>259</v>
      </c>
      <c r="B295" s="64" t="s">
        <v>258</v>
      </c>
      <c r="C295" s="64" t="s">
        <v>6</v>
      </c>
      <c r="D295" s="64" t="s">
        <v>7</v>
      </c>
      <c r="E295" s="64" t="s">
        <v>260</v>
      </c>
      <c r="F295" s="64"/>
      <c r="G295" s="22" t="e">
        <f>#REF!</f>
        <v>#REF!</v>
      </c>
      <c r="H295" s="49">
        <f>H296+H297</f>
        <v>1047.9</v>
      </c>
      <c r="I295" s="49">
        <f>I296+I297</f>
        <v>216.64</v>
      </c>
      <c r="J295" s="49">
        <f>J296+J297</f>
        <v>1264.54</v>
      </c>
      <c r="K295" s="49">
        <f>K296+K297</f>
        <v>114.92</v>
      </c>
      <c r="L295" s="49">
        <f>L296+L297</f>
        <v>1379.46</v>
      </c>
    </row>
    <row r="296" spans="1:12" ht="13.5" customHeight="1">
      <c r="A296" s="79" t="s">
        <v>150</v>
      </c>
      <c r="B296" s="64" t="s">
        <v>258</v>
      </c>
      <c r="C296" s="64" t="s">
        <v>6</v>
      </c>
      <c r="D296" s="64" t="s">
        <v>7</v>
      </c>
      <c r="E296" s="64" t="s">
        <v>260</v>
      </c>
      <c r="F296" s="64" t="s">
        <v>151</v>
      </c>
      <c r="G296" s="22"/>
      <c r="H296" s="52">
        <v>1047.9</v>
      </c>
      <c r="I296" s="49">
        <v>216.64</v>
      </c>
      <c r="J296" s="49">
        <f>H296+I296</f>
        <v>1264.54</v>
      </c>
      <c r="K296" s="49">
        <f>114.92</f>
        <v>114.92</v>
      </c>
      <c r="L296" s="49">
        <f>J296+K296</f>
        <v>1379.46</v>
      </c>
    </row>
    <row r="297" spans="1:12" ht="15" customHeight="1" hidden="1">
      <c r="A297" s="90" t="s">
        <v>94</v>
      </c>
      <c r="B297" s="64" t="s">
        <v>258</v>
      </c>
      <c r="C297" s="64" t="s">
        <v>6</v>
      </c>
      <c r="D297" s="64" t="s">
        <v>7</v>
      </c>
      <c r="E297" s="64" t="s">
        <v>260</v>
      </c>
      <c r="F297" s="64" t="s">
        <v>93</v>
      </c>
      <c r="G297" s="22"/>
      <c r="H297" s="52"/>
      <c r="I297" s="49"/>
      <c r="J297" s="49">
        <f>H297+I297</f>
        <v>0</v>
      </c>
      <c r="K297" s="49"/>
      <c r="L297" s="49">
        <f>J297+K297</f>
        <v>0</v>
      </c>
    </row>
    <row r="298" spans="1:12" s="27" customFormat="1" ht="25.5" customHeight="1">
      <c r="A298" s="89" t="s">
        <v>377</v>
      </c>
      <c r="B298" s="63" t="s">
        <v>258</v>
      </c>
      <c r="C298" s="63" t="s">
        <v>6</v>
      </c>
      <c r="D298" s="63" t="s">
        <v>8</v>
      </c>
      <c r="E298" s="63"/>
      <c r="F298" s="63"/>
      <c r="G298" s="17" t="e">
        <f aca="true" t="shared" si="24" ref="G298:L298">G299</f>
        <v>#REF!</v>
      </c>
      <c r="H298" s="51">
        <f t="shared" si="24"/>
        <v>1779.4299999999998</v>
      </c>
      <c r="I298" s="47">
        <f t="shared" si="24"/>
        <v>-227.99999999999997</v>
      </c>
      <c r="J298" s="47">
        <f t="shared" si="24"/>
        <v>1703.9299999999998</v>
      </c>
      <c r="K298" s="47">
        <f t="shared" si="24"/>
        <v>-92.54599999999999</v>
      </c>
      <c r="L298" s="47">
        <f t="shared" si="24"/>
        <v>1611.384</v>
      </c>
    </row>
    <row r="299" spans="1:12" ht="23.25">
      <c r="A299" s="90" t="s">
        <v>250</v>
      </c>
      <c r="B299" s="64" t="s">
        <v>258</v>
      </c>
      <c r="C299" s="64" t="s">
        <v>6</v>
      </c>
      <c r="D299" s="64" t="s">
        <v>8</v>
      </c>
      <c r="E299" s="64" t="s">
        <v>115</v>
      </c>
      <c r="F299" s="64"/>
      <c r="G299" s="22" t="e">
        <f aca="true" t="shared" si="25" ref="G299:L299">G300+G305</f>
        <v>#REF!</v>
      </c>
      <c r="H299" s="52">
        <f t="shared" si="25"/>
        <v>1779.4299999999998</v>
      </c>
      <c r="I299" s="49">
        <f t="shared" si="25"/>
        <v>-227.99999999999997</v>
      </c>
      <c r="J299" s="49">
        <f t="shared" si="25"/>
        <v>1703.9299999999998</v>
      </c>
      <c r="K299" s="49">
        <f t="shared" si="25"/>
        <v>-92.54599999999999</v>
      </c>
      <c r="L299" s="49">
        <f t="shared" si="25"/>
        <v>1611.384</v>
      </c>
    </row>
    <row r="300" spans="1:12" ht="15">
      <c r="A300" s="90" t="s">
        <v>116</v>
      </c>
      <c r="B300" s="64" t="s">
        <v>258</v>
      </c>
      <c r="C300" s="64" t="s">
        <v>6</v>
      </c>
      <c r="D300" s="64" t="s">
        <v>8</v>
      </c>
      <c r="E300" s="64" t="s">
        <v>117</v>
      </c>
      <c r="F300" s="64"/>
      <c r="G300" s="22" t="e">
        <f>#REF!</f>
        <v>#REF!</v>
      </c>
      <c r="H300" s="49">
        <f>H301+H302+H303+H304</f>
        <v>1045.58</v>
      </c>
      <c r="I300" s="49">
        <f>I301+I302+I303+I304</f>
        <v>-382.02</v>
      </c>
      <c r="J300" s="49">
        <f>J301+J302+J303+J304</f>
        <v>816.06</v>
      </c>
      <c r="K300" s="49">
        <f>K301+K302+K303+K304</f>
        <v>-95.609</v>
      </c>
      <c r="L300" s="49">
        <f>L301+L302+L303+L304</f>
        <v>720.451</v>
      </c>
    </row>
    <row r="301" spans="1:12" ht="20.25" customHeight="1">
      <c r="A301" s="79" t="s">
        <v>150</v>
      </c>
      <c r="B301" s="64" t="s">
        <v>258</v>
      </c>
      <c r="C301" s="64" t="s">
        <v>6</v>
      </c>
      <c r="D301" s="64" t="s">
        <v>8</v>
      </c>
      <c r="E301" s="64" t="s">
        <v>117</v>
      </c>
      <c r="F301" s="64" t="s">
        <v>151</v>
      </c>
      <c r="G301" s="22"/>
      <c r="H301" s="52">
        <v>800.75</v>
      </c>
      <c r="I301" s="49">
        <v>-287.19</v>
      </c>
      <c r="J301" s="49">
        <f>H301+I301</f>
        <v>513.56</v>
      </c>
      <c r="K301" s="49">
        <v>-95.609</v>
      </c>
      <c r="L301" s="49">
        <f>J301+K301</f>
        <v>417.95099999999996</v>
      </c>
    </row>
    <row r="302" spans="1:12" ht="22.5" customHeight="1">
      <c r="A302" s="79" t="s">
        <v>153</v>
      </c>
      <c r="B302" s="64" t="s">
        <v>258</v>
      </c>
      <c r="C302" s="64" t="s">
        <v>6</v>
      </c>
      <c r="D302" s="64" t="s">
        <v>8</v>
      </c>
      <c r="E302" s="64" t="s">
        <v>117</v>
      </c>
      <c r="F302" s="64" t="s">
        <v>154</v>
      </c>
      <c r="G302" s="22"/>
      <c r="H302" s="52">
        <v>34.2</v>
      </c>
      <c r="I302" s="49">
        <v>15.8</v>
      </c>
      <c r="J302" s="49">
        <v>85</v>
      </c>
      <c r="K302" s="49"/>
      <c r="L302" s="49">
        <f>J302+K302</f>
        <v>85</v>
      </c>
    </row>
    <row r="303" spans="1:12" ht="24" customHeight="1">
      <c r="A303" s="79" t="s">
        <v>499</v>
      </c>
      <c r="B303" s="64" t="s">
        <v>258</v>
      </c>
      <c r="C303" s="64" t="s">
        <v>6</v>
      </c>
      <c r="D303" s="64" t="s">
        <v>8</v>
      </c>
      <c r="E303" s="64" t="s">
        <v>117</v>
      </c>
      <c r="F303" s="64" t="s">
        <v>147</v>
      </c>
      <c r="G303" s="22"/>
      <c r="H303" s="52">
        <v>210.63</v>
      </c>
      <c r="I303" s="49">
        <v>-110.63</v>
      </c>
      <c r="J303" s="49">
        <v>217.5</v>
      </c>
      <c r="K303" s="49"/>
      <c r="L303" s="49">
        <f>J303+K303</f>
        <v>217.5</v>
      </c>
    </row>
    <row r="304" spans="1:12" ht="15" customHeight="1" hidden="1">
      <c r="A304" s="90" t="s">
        <v>94</v>
      </c>
      <c r="B304" s="64" t="s">
        <v>258</v>
      </c>
      <c r="C304" s="64" t="s">
        <v>6</v>
      </c>
      <c r="D304" s="64" t="s">
        <v>8</v>
      </c>
      <c r="E304" s="64" t="s">
        <v>117</v>
      </c>
      <c r="F304" s="64" t="s">
        <v>93</v>
      </c>
      <c r="G304" s="22">
        <v>30</v>
      </c>
      <c r="H304" s="52"/>
      <c r="I304" s="49"/>
      <c r="J304" s="49">
        <f>H304+I304</f>
        <v>0</v>
      </c>
      <c r="K304" s="49"/>
      <c r="L304" s="49">
        <f>J304+K304</f>
        <v>0</v>
      </c>
    </row>
    <row r="305" spans="1:12" ht="23.25">
      <c r="A305" s="90" t="s">
        <v>261</v>
      </c>
      <c r="B305" s="64" t="s">
        <v>258</v>
      </c>
      <c r="C305" s="64" t="s">
        <v>6</v>
      </c>
      <c r="D305" s="64" t="s">
        <v>8</v>
      </c>
      <c r="E305" s="64" t="s">
        <v>262</v>
      </c>
      <c r="F305" s="64"/>
      <c r="G305" s="22" t="e">
        <f>#REF!</f>
        <v>#REF!</v>
      </c>
      <c r="H305" s="49">
        <f>H306+H307</f>
        <v>733.85</v>
      </c>
      <c r="I305" s="49">
        <f>I306+I307</f>
        <v>154.02</v>
      </c>
      <c r="J305" s="49">
        <f>J306+J307</f>
        <v>887.87</v>
      </c>
      <c r="K305" s="49">
        <f>K306+K307</f>
        <v>3.063</v>
      </c>
      <c r="L305" s="49">
        <f>L306+L307</f>
        <v>890.933</v>
      </c>
    </row>
    <row r="306" spans="1:12" ht="17.25" customHeight="1">
      <c r="A306" s="79" t="s">
        <v>150</v>
      </c>
      <c r="B306" s="64" t="s">
        <v>258</v>
      </c>
      <c r="C306" s="64" t="s">
        <v>6</v>
      </c>
      <c r="D306" s="64" t="s">
        <v>8</v>
      </c>
      <c r="E306" s="64" t="s">
        <v>262</v>
      </c>
      <c r="F306" s="64" t="s">
        <v>151</v>
      </c>
      <c r="G306" s="22"/>
      <c r="H306" s="52">
        <v>733.85</v>
      </c>
      <c r="I306" s="49">
        <v>154.02</v>
      </c>
      <c r="J306" s="49">
        <f>H306+I306</f>
        <v>887.87</v>
      </c>
      <c r="K306" s="49">
        <v>3.063</v>
      </c>
      <c r="L306" s="49">
        <f>J306+K306</f>
        <v>890.933</v>
      </c>
    </row>
    <row r="307" spans="1:12" ht="15" customHeight="1" hidden="1">
      <c r="A307" s="90" t="s">
        <v>94</v>
      </c>
      <c r="B307" s="64" t="s">
        <v>258</v>
      </c>
      <c r="C307" s="64" t="s">
        <v>6</v>
      </c>
      <c r="D307" s="64" t="s">
        <v>8</v>
      </c>
      <c r="E307" s="64" t="s">
        <v>262</v>
      </c>
      <c r="F307" s="64" t="s">
        <v>93</v>
      </c>
      <c r="G307" s="22"/>
      <c r="H307" s="52"/>
      <c r="I307" s="49"/>
      <c r="J307" s="49">
        <f>H307+I307</f>
        <v>0</v>
      </c>
      <c r="K307" s="49"/>
      <c r="L307" s="49">
        <f>J307+K307</f>
        <v>0</v>
      </c>
    </row>
    <row r="308" spans="1:12" s="27" customFormat="1" ht="14.25">
      <c r="A308" s="89" t="s">
        <v>500</v>
      </c>
      <c r="B308" s="63" t="s">
        <v>258</v>
      </c>
      <c r="C308" s="63" t="s">
        <v>6</v>
      </c>
      <c r="D308" s="63" t="s">
        <v>9</v>
      </c>
      <c r="E308" s="63"/>
      <c r="F308" s="63"/>
      <c r="G308" s="17" t="e">
        <f>G318+G310+G312</f>
        <v>#REF!</v>
      </c>
      <c r="H308" s="51">
        <f>H309+H318+H327</f>
        <v>15352.410000000002</v>
      </c>
      <c r="I308" s="51">
        <f>I309+I318+I327</f>
        <v>-4639.914400000001</v>
      </c>
      <c r="J308" s="51">
        <f>J309+J318+J327</f>
        <v>10712.495600000002</v>
      </c>
      <c r="K308" s="51">
        <f>K309+K318+K327</f>
        <v>2059.483</v>
      </c>
      <c r="L308" s="51">
        <f>L309+L318+L327</f>
        <v>12771.9786</v>
      </c>
    </row>
    <row r="309" spans="1:12" ht="22.5">
      <c r="A309" s="128" t="s">
        <v>250</v>
      </c>
      <c r="B309" s="64" t="s">
        <v>258</v>
      </c>
      <c r="C309" s="64" t="s">
        <v>6</v>
      </c>
      <c r="D309" s="64" t="s">
        <v>9</v>
      </c>
      <c r="E309" s="64" t="s">
        <v>361</v>
      </c>
      <c r="F309" s="64"/>
      <c r="G309" s="22"/>
      <c r="H309" s="52">
        <f>H310+H312+H316</f>
        <v>605</v>
      </c>
      <c r="I309" s="52">
        <f>I310+I312+I316</f>
        <v>159.7</v>
      </c>
      <c r="J309" s="52">
        <f>J310+J312+J316</f>
        <v>764.7</v>
      </c>
      <c r="K309" s="52">
        <f>K310+K312+K316</f>
        <v>30.000000000000007</v>
      </c>
      <c r="L309" s="52">
        <f>L310+L312+L316</f>
        <v>794.7</v>
      </c>
    </row>
    <row r="310" spans="1:12" s="27" customFormat="1" ht="45.75" customHeight="1" hidden="1">
      <c r="A310" s="98" t="s">
        <v>263</v>
      </c>
      <c r="B310" s="64" t="s">
        <v>258</v>
      </c>
      <c r="C310" s="64" t="s">
        <v>6</v>
      </c>
      <c r="D310" s="64" t="s">
        <v>9</v>
      </c>
      <c r="E310" s="64" t="s">
        <v>264</v>
      </c>
      <c r="F310" s="64"/>
      <c r="G310" s="22">
        <f aca="true" t="shared" si="26" ref="G310:L310">G311</f>
        <v>47.3</v>
      </c>
      <c r="H310" s="52">
        <f t="shared" si="26"/>
        <v>0</v>
      </c>
      <c r="I310" s="49">
        <f t="shared" si="26"/>
        <v>0</v>
      </c>
      <c r="J310" s="49">
        <f t="shared" si="26"/>
        <v>0</v>
      </c>
      <c r="K310" s="49">
        <f t="shared" si="26"/>
        <v>0</v>
      </c>
      <c r="L310" s="49">
        <f t="shared" si="26"/>
        <v>0</v>
      </c>
    </row>
    <row r="311" spans="1:12" s="27" customFormat="1" ht="31.5" customHeight="1" hidden="1">
      <c r="A311" s="90" t="s">
        <v>193</v>
      </c>
      <c r="B311" s="64" t="s">
        <v>258</v>
      </c>
      <c r="C311" s="64" t="s">
        <v>6</v>
      </c>
      <c r="D311" s="64" t="s">
        <v>9</v>
      </c>
      <c r="E311" s="64" t="s">
        <v>264</v>
      </c>
      <c r="F311" s="64" t="s">
        <v>149</v>
      </c>
      <c r="G311" s="22">
        <v>47.3</v>
      </c>
      <c r="H311" s="52"/>
      <c r="I311" s="49"/>
      <c r="J311" s="49">
        <f>H311+I311</f>
        <v>0</v>
      </c>
      <c r="K311" s="49"/>
      <c r="L311" s="49">
        <f>J311+K311</f>
        <v>0</v>
      </c>
    </row>
    <row r="312" spans="1:12" s="27" customFormat="1" ht="33.75">
      <c r="A312" s="98" t="s">
        <v>113</v>
      </c>
      <c r="B312" s="64" t="s">
        <v>258</v>
      </c>
      <c r="C312" s="64" t="s">
        <v>6</v>
      </c>
      <c r="D312" s="64" t="s">
        <v>9</v>
      </c>
      <c r="E312" s="64" t="s">
        <v>114</v>
      </c>
      <c r="F312" s="64"/>
      <c r="G312" s="18" t="e">
        <f>#REF!</f>
        <v>#REF!</v>
      </c>
      <c r="H312" s="49">
        <f>H313+H314+H315</f>
        <v>605</v>
      </c>
      <c r="I312" s="49">
        <f>I313+I314+I315</f>
        <v>159</v>
      </c>
      <c r="J312" s="49">
        <f>J313+J314+J315</f>
        <v>764</v>
      </c>
      <c r="K312" s="49">
        <f>K313+K314+K315</f>
        <v>30.000000000000007</v>
      </c>
      <c r="L312" s="49">
        <f>L313+L314+L315</f>
        <v>794</v>
      </c>
    </row>
    <row r="313" spans="1:12" s="27" customFormat="1" ht="18.75" customHeight="1">
      <c r="A313" s="79" t="s">
        <v>150</v>
      </c>
      <c r="B313" s="64" t="s">
        <v>258</v>
      </c>
      <c r="C313" s="64" t="s">
        <v>6</v>
      </c>
      <c r="D313" s="64" t="s">
        <v>9</v>
      </c>
      <c r="E313" s="64" t="s">
        <v>114</v>
      </c>
      <c r="F313" s="64" t="s">
        <v>151</v>
      </c>
      <c r="G313" s="18"/>
      <c r="H313" s="49">
        <v>325.41</v>
      </c>
      <c r="I313" s="49">
        <v>159</v>
      </c>
      <c r="J313" s="49">
        <f>H313+I313</f>
        <v>484.41</v>
      </c>
      <c r="K313" s="49">
        <f>59.7142+30</f>
        <v>89.7142</v>
      </c>
      <c r="L313" s="49">
        <f>J313+K313</f>
        <v>574.1242</v>
      </c>
    </row>
    <row r="314" spans="1:12" s="27" customFormat="1" ht="23.25" customHeight="1">
      <c r="A314" s="79" t="s">
        <v>153</v>
      </c>
      <c r="B314" s="64" t="s">
        <v>258</v>
      </c>
      <c r="C314" s="64" t="s">
        <v>6</v>
      </c>
      <c r="D314" s="64" t="s">
        <v>9</v>
      </c>
      <c r="E314" s="64" t="s">
        <v>114</v>
      </c>
      <c r="F314" s="64" t="s">
        <v>154</v>
      </c>
      <c r="G314" s="18"/>
      <c r="H314" s="49">
        <v>1</v>
      </c>
      <c r="I314" s="49"/>
      <c r="J314" s="49">
        <v>2</v>
      </c>
      <c r="K314" s="49">
        <f>2.5</f>
        <v>2.5</v>
      </c>
      <c r="L314" s="49">
        <f>J314+K314</f>
        <v>4.5</v>
      </c>
    </row>
    <row r="315" spans="1:12" s="27" customFormat="1" ht="21" customHeight="1">
      <c r="A315" s="79" t="s">
        <v>499</v>
      </c>
      <c r="B315" s="64" t="s">
        <v>258</v>
      </c>
      <c r="C315" s="64" t="s">
        <v>6</v>
      </c>
      <c r="D315" s="64" t="s">
        <v>9</v>
      </c>
      <c r="E315" s="64" t="s">
        <v>114</v>
      </c>
      <c r="F315" s="64" t="s">
        <v>147</v>
      </c>
      <c r="G315" s="18"/>
      <c r="H315" s="49">
        <v>278.59</v>
      </c>
      <c r="I315" s="49"/>
      <c r="J315" s="49">
        <v>277.59</v>
      </c>
      <c r="K315" s="49">
        <v>-62.2142</v>
      </c>
      <c r="L315" s="49">
        <f>J315+K315</f>
        <v>215.37579999999997</v>
      </c>
    </row>
    <row r="316" spans="1:12" s="27" customFormat="1" ht="67.5">
      <c r="A316" s="77" t="s">
        <v>443</v>
      </c>
      <c r="B316" s="64" t="s">
        <v>258</v>
      </c>
      <c r="C316" s="64" t="s">
        <v>6</v>
      </c>
      <c r="D316" s="64" t="s">
        <v>9</v>
      </c>
      <c r="E316" s="64" t="s">
        <v>444</v>
      </c>
      <c r="F316" s="64"/>
      <c r="G316" s="18" t="e">
        <f>#REF!-#REF!</f>
        <v>#REF!</v>
      </c>
      <c r="H316" s="49">
        <f>H317</f>
        <v>0</v>
      </c>
      <c r="I316" s="49">
        <f>I317</f>
        <v>0.7</v>
      </c>
      <c r="J316" s="49">
        <f>H316+I316</f>
        <v>0.7</v>
      </c>
      <c r="K316" s="49">
        <f>K317</f>
        <v>0</v>
      </c>
      <c r="L316" s="49">
        <f>J316+K316</f>
        <v>0.7</v>
      </c>
    </row>
    <row r="317" spans="1:12" s="27" customFormat="1" ht="21" customHeight="1">
      <c r="A317" s="79" t="s">
        <v>499</v>
      </c>
      <c r="B317" s="64" t="s">
        <v>258</v>
      </c>
      <c r="C317" s="64" t="s">
        <v>6</v>
      </c>
      <c r="D317" s="64" t="s">
        <v>9</v>
      </c>
      <c r="E317" s="64" t="s">
        <v>444</v>
      </c>
      <c r="F317" s="64" t="s">
        <v>147</v>
      </c>
      <c r="G317" s="18"/>
      <c r="H317" s="52"/>
      <c r="I317" s="49">
        <v>0.7</v>
      </c>
      <c r="J317" s="49">
        <f>H317+I317</f>
        <v>0.7</v>
      </c>
      <c r="K317" s="49"/>
      <c r="L317" s="49">
        <f>J317+K317</f>
        <v>0.7</v>
      </c>
    </row>
    <row r="318" spans="1:12" ht="23.25">
      <c r="A318" s="90" t="s">
        <v>250</v>
      </c>
      <c r="B318" s="64" t="s">
        <v>258</v>
      </c>
      <c r="C318" s="64" t="s">
        <v>6</v>
      </c>
      <c r="D318" s="64" t="s">
        <v>9</v>
      </c>
      <c r="E318" s="64" t="s">
        <v>115</v>
      </c>
      <c r="F318" s="64"/>
      <c r="G318" s="22" t="e">
        <f aca="true" t="shared" si="27" ref="G318:L318">G319</f>
        <v>#REF!</v>
      </c>
      <c r="H318" s="52">
        <f t="shared" si="27"/>
        <v>14747.410000000002</v>
      </c>
      <c r="I318" s="49">
        <f t="shared" si="27"/>
        <v>-4799.6144</v>
      </c>
      <c r="J318" s="49">
        <f t="shared" si="27"/>
        <v>9947.795600000001</v>
      </c>
      <c r="K318" s="49">
        <f t="shared" si="27"/>
        <v>2029.4830000000002</v>
      </c>
      <c r="L318" s="49">
        <f t="shared" si="27"/>
        <v>11977.2786</v>
      </c>
    </row>
    <row r="319" spans="1:12" ht="15">
      <c r="A319" s="90" t="s">
        <v>116</v>
      </c>
      <c r="B319" s="64" t="s">
        <v>258</v>
      </c>
      <c r="C319" s="64" t="s">
        <v>6</v>
      </c>
      <c r="D319" s="64" t="s">
        <v>9</v>
      </c>
      <c r="E319" s="64" t="s">
        <v>117</v>
      </c>
      <c r="F319" s="64"/>
      <c r="G319" s="22" t="e">
        <f>#REF!+#REF!</f>
        <v>#REF!</v>
      </c>
      <c r="H319" s="49">
        <f>H320+H321+H322+H323+H324+H325+H326</f>
        <v>14747.410000000002</v>
      </c>
      <c r="I319" s="49">
        <f>I320+I321+I322+I323+I324+I325+I326</f>
        <v>-4799.6144</v>
      </c>
      <c r="J319" s="49">
        <f>J320+J321+J322+J323+J324+J325+J326</f>
        <v>9947.795600000001</v>
      </c>
      <c r="K319" s="49">
        <f>K320+K321+K322+K323+K324+K325+K326</f>
        <v>2029.4830000000002</v>
      </c>
      <c r="L319" s="49">
        <f>L320+L321+L322+L323+L324+L325+L326</f>
        <v>11977.2786</v>
      </c>
    </row>
    <row r="320" spans="1:12" ht="15.75" customHeight="1">
      <c r="A320" s="79" t="s">
        <v>150</v>
      </c>
      <c r="B320" s="64" t="s">
        <v>258</v>
      </c>
      <c r="C320" s="64" t="s">
        <v>6</v>
      </c>
      <c r="D320" s="64" t="s">
        <v>9</v>
      </c>
      <c r="E320" s="64" t="s">
        <v>117</v>
      </c>
      <c r="F320" s="64" t="s">
        <v>151</v>
      </c>
      <c r="G320" s="17"/>
      <c r="H320" s="49">
        <v>8465.28</v>
      </c>
      <c r="I320" s="49">
        <f>1644.27-175.13-482.851</f>
        <v>986.2889999999999</v>
      </c>
      <c r="J320" s="49">
        <v>9373.199</v>
      </c>
      <c r="K320" s="49">
        <f>413+645.574+32.334+720.575+218+78.37</f>
        <v>2107.853</v>
      </c>
      <c r="L320" s="49">
        <f aca="true" t="shared" si="28" ref="J320:L326">J320+K320</f>
        <v>11481.052</v>
      </c>
    </row>
    <row r="321" spans="1:12" ht="20.25" customHeight="1" hidden="1">
      <c r="A321" s="79" t="s">
        <v>153</v>
      </c>
      <c r="B321" s="64" t="s">
        <v>258</v>
      </c>
      <c r="C321" s="64" t="s">
        <v>6</v>
      </c>
      <c r="D321" s="64" t="s">
        <v>9</v>
      </c>
      <c r="E321" s="64" t="s">
        <v>117</v>
      </c>
      <c r="F321" s="64" t="s">
        <v>154</v>
      </c>
      <c r="G321" s="17"/>
      <c r="H321" s="49">
        <v>91.4</v>
      </c>
      <c r="I321" s="49">
        <v>-91.4</v>
      </c>
      <c r="J321" s="49">
        <f t="shared" si="28"/>
        <v>0</v>
      </c>
      <c r="K321" s="49"/>
      <c r="L321" s="49">
        <f t="shared" si="28"/>
        <v>0</v>
      </c>
    </row>
    <row r="322" spans="1:12" ht="30" customHeight="1" hidden="1">
      <c r="A322" s="79" t="s">
        <v>156</v>
      </c>
      <c r="B322" s="64" t="s">
        <v>258</v>
      </c>
      <c r="C322" s="64" t="s">
        <v>6</v>
      </c>
      <c r="D322" s="64" t="s">
        <v>9</v>
      </c>
      <c r="E322" s="64" t="s">
        <v>117</v>
      </c>
      <c r="F322" s="64" t="s">
        <v>157</v>
      </c>
      <c r="G322" s="17"/>
      <c r="H322" s="49">
        <v>195.16</v>
      </c>
      <c r="I322" s="49">
        <v>-195.16</v>
      </c>
      <c r="J322" s="49">
        <f t="shared" si="28"/>
        <v>0</v>
      </c>
      <c r="K322" s="49"/>
      <c r="L322" s="49">
        <f t="shared" si="28"/>
        <v>0</v>
      </c>
    </row>
    <row r="323" spans="1:12" ht="23.25" customHeight="1">
      <c r="A323" s="79" t="s">
        <v>499</v>
      </c>
      <c r="B323" s="64" t="s">
        <v>258</v>
      </c>
      <c r="C323" s="64" t="s">
        <v>6</v>
      </c>
      <c r="D323" s="64" t="s">
        <v>9</v>
      </c>
      <c r="E323" s="64" t="s">
        <v>117</v>
      </c>
      <c r="F323" s="64" t="s">
        <v>147</v>
      </c>
      <c r="G323" s="17"/>
      <c r="H323" s="49">
        <v>5405.56</v>
      </c>
      <c r="I323" s="49">
        <f>-5405.56+496.2266</f>
        <v>-4909.3334</v>
      </c>
      <c r="J323" s="49">
        <v>574.5966</v>
      </c>
      <c r="K323" s="49">
        <f>-78.37</f>
        <v>-78.37</v>
      </c>
      <c r="L323" s="49">
        <f t="shared" si="28"/>
        <v>496.22659999999996</v>
      </c>
    </row>
    <row r="324" spans="1:12" ht="15" customHeight="1" hidden="1">
      <c r="A324" s="90" t="s">
        <v>94</v>
      </c>
      <c r="B324" s="64" t="s">
        <v>258</v>
      </c>
      <c r="C324" s="64" t="s">
        <v>6</v>
      </c>
      <c r="D324" s="64" t="s">
        <v>9</v>
      </c>
      <c r="E324" s="64" t="s">
        <v>117</v>
      </c>
      <c r="F324" s="64" t="s">
        <v>93</v>
      </c>
      <c r="G324" s="22">
        <f>10-200+200+80.47+1300-0.47-80+50</f>
        <v>1360</v>
      </c>
      <c r="H324" s="52"/>
      <c r="I324" s="49"/>
      <c r="J324" s="49">
        <f>H324+I324</f>
        <v>0</v>
      </c>
      <c r="K324" s="49"/>
      <c r="L324" s="49">
        <f>J324+K324</f>
        <v>0</v>
      </c>
    </row>
    <row r="325" spans="1:12" ht="24" customHeight="1" hidden="1">
      <c r="A325" s="79" t="s">
        <v>265</v>
      </c>
      <c r="B325" s="64" t="s">
        <v>258</v>
      </c>
      <c r="C325" s="64" t="s">
        <v>6</v>
      </c>
      <c r="D325" s="64" t="s">
        <v>9</v>
      </c>
      <c r="E325" s="64" t="s">
        <v>117</v>
      </c>
      <c r="F325" s="64" t="s">
        <v>159</v>
      </c>
      <c r="G325" s="17"/>
      <c r="H325" s="49">
        <v>360.41</v>
      </c>
      <c r="I325" s="49">
        <v>-360.41</v>
      </c>
      <c r="J325" s="49">
        <f t="shared" si="28"/>
        <v>0</v>
      </c>
      <c r="K325" s="49"/>
      <c r="L325" s="49">
        <f t="shared" si="28"/>
        <v>0</v>
      </c>
    </row>
    <row r="326" spans="1:12" s="34" customFormat="1" ht="15.75" customHeight="1" hidden="1">
      <c r="A326" s="82" t="s">
        <v>160</v>
      </c>
      <c r="B326" s="72" t="s">
        <v>258</v>
      </c>
      <c r="C326" s="72" t="s">
        <v>6</v>
      </c>
      <c r="D326" s="72" t="s">
        <v>9</v>
      </c>
      <c r="E326" s="72" t="s">
        <v>117</v>
      </c>
      <c r="F326" s="72" t="s">
        <v>161</v>
      </c>
      <c r="G326" s="36"/>
      <c r="H326" s="49">
        <v>229.6</v>
      </c>
      <c r="I326" s="49">
        <v>-229.6</v>
      </c>
      <c r="J326" s="49">
        <f t="shared" si="28"/>
        <v>0</v>
      </c>
      <c r="K326" s="49"/>
      <c r="L326" s="49">
        <f t="shared" si="28"/>
        <v>0</v>
      </c>
    </row>
    <row r="327" spans="1:12" s="34" customFormat="1" ht="25.5" customHeight="1" hidden="1">
      <c r="A327" s="90" t="s">
        <v>435</v>
      </c>
      <c r="B327" s="72" t="s">
        <v>258</v>
      </c>
      <c r="C327" s="72" t="s">
        <v>6</v>
      </c>
      <c r="D327" s="72" t="s">
        <v>9</v>
      </c>
      <c r="E327" s="72" t="s">
        <v>427</v>
      </c>
      <c r="F327" s="72"/>
      <c r="G327" s="36"/>
      <c r="H327" s="49">
        <f>H328</f>
        <v>0</v>
      </c>
      <c r="I327" s="49">
        <f>I328</f>
        <v>0</v>
      </c>
      <c r="J327" s="49">
        <f>J328</f>
        <v>0</v>
      </c>
      <c r="K327" s="49">
        <f>K328</f>
        <v>0</v>
      </c>
      <c r="L327" s="49">
        <f>L328</f>
        <v>0</v>
      </c>
    </row>
    <row r="328" spans="1:12" s="34" customFormat="1" ht="25.5" customHeight="1" hidden="1">
      <c r="A328" s="90" t="s">
        <v>436</v>
      </c>
      <c r="B328" s="72" t="s">
        <v>258</v>
      </c>
      <c r="C328" s="72" t="s">
        <v>6</v>
      </c>
      <c r="D328" s="72" t="s">
        <v>9</v>
      </c>
      <c r="E328" s="72" t="s">
        <v>427</v>
      </c>
      <c r="F328" s="72" t="s">
        <v>431</v>
      </c>
      <c r="G328" s="36"/>
      <c r="H328" s="49"/>
      <c r="I328" s="49"/>
      <c r="J328" s="49">
        <f>H328+I328</f>
        <v>0</v>
      </c>
      <c r="K328" s="49"/>
      <c r="L328" s="49">
        <f>J328+K328</f>
        <v>0</v>
      </c>
    </row>
    <row r="329" spans="1:12" s="27" customFormat="1" ht="14.25" customHeight="1" hidden="1">
      <c r="A329" s="76" t="s">
        <v>10</v>
      </c>
      <c r="B329" s="63" t="s">
        <v>258</v>
      </c>
      <c r="C329" s="63" t="s">
        <v>6</v>
      </c>
      <c r="D329" s="63" t="s">
        <v>11</v>
      </c>
      <c r="E329" s="63"/>
      <c r="F329" s="63"/>
      <c r="G329" s="17"/>
      <c r="H329" s="51">
        <f>H330</f>
        <v>0</v>
      </c>
      <c r="I329" s="47">
        <f>I330</f>
        <v>0</v>
      </c>
      <c r="J329" s="47">
        <f>J330</f>
        <v>0</v>
      </c>
      <c r="K329" s="47">
        <f>K330</f>
        <v>0</v>
      </c>
      <c r="L329" s="47">
        <f>L330</f>
        <v>0</v>
      </c>
    </row>
    <row r="330" spans="1:12" ht="32.25" customHeight="1" hidden="1">
      <c r="A330" s="77" t="s">
        <v>266</v>
      </c>
      <c r="B330" s="64" t="s">
        <v>258</v>
      </c>
      <c r="C330" s="64" t="s">
        <v>6</v>
      </c>
      <c r="D330" s="64" t="s">
        <v>11</v>
      </c>
      <c r="E330" s="64" t="s">
        <v>267</v>
      </c>
      <c r="F330" s="64"/>
      <c r="G330" s="17"/>
      <c r="H330" s="49">
        <f>H331+H332</f>
        <v>0</v>
      </c>
      <c r="I330" s="49">
        <f>I331+I332</f>
        <v>0</v>
      </c>
      <c r="J330" s="49">
        <f>J331+J332</f>
        <v>0</v>
      </c>
      <c r="K330" s="49">
        <f>K331+K332</f>
        <v>0</v>
      </c>
      <c r="L330" s="49">
        <f>L331+L332</f>
        <v>0</v>
      </c>
    </row>
    <row r="331" spans="1:12" ht="15" customHeight="1" hidden="1">
      <c r="A331" s="90" t="s">
        <v>92</v>
      </c>
      <c r="B331" s="64" t="s">
        <v>258</v>
      </c>
      <c r="C331" s="64" t="s">
        <v>6</v>
      </c>
      <c r="D331" s="64" t="s">
        <v>11</v>
      </c>
      <c r="E331" s="64" t="s">
        <v>267</v>
      </c>
      <c r="F331" s="64" t="s">
        <v>149</v>
      </c>
      <c r="G331" s="22"/>
      <c r="H331" s="52"/>
      <c r="I331" s="49"/>
      <c r="J331" s="49">
        <f>H331+I331</f>
        <v>0</v>
      </c>
      <c r="K331" s="49"/>
      <c r="L331" s="49">
        <f>J331+K331</f>
        <v>0</v>
      </c>
    </row>
    <row r="332" spans="1:12" ht="31.5" customHeight="1" hidden="1">
      <c r="A332" s="79" t="s">
        <v>145</v>
      </c>
      <c r="B332" s="64" t="s">
        <v>258</v>
      </c>
      <c r="C332" s="64" t="s">
        <v>6</v>
      </c>
      <c r="D332" s="64" t="s">
        <v>11</v>
      </c>
      <c r="E332" s="64" t="s">
        <v>267</v>
      </c>
      <c r="F332" s="64" t="s">
        <v>147</v>
      </c>
      <c r="G332" s="22"/>
      <c r="H332" s="52"/>
      <c r="I332" s="49"/>
      <c r="J332" s="49">
        <f>H332+I332</f>
        <v>0</v>
      </c>
      <c r="K332" s="49"/>
      <c r="L332" s="49">
        <f>J332+K332</f>
        <v>0</v>
      </c>
    </row>
    <row r="333" spans="1:12" ht="33">
      <c r="A333" s="92" t="s">
        <v>191</v>
      </c>
      <c r="B333" s="63" t="s">
        <v>258</v>
      </c>
      <c r="C333" s="63" t="s">
        <v>6</v>
      </c>
      <c r="D333" s="63" t="s">
        <v>12</v>
      </c>
      <c r="E333" s="63"/>
      <c r="F333" s="63"/>
      <c r="G333" s="17" t="e">
        <f aca="true" t="shared" si="29" ref="G333:L333">G334</f>
        <v>#REF!</v>
      </c>
      <c r="H333" s="47">
        <f t="shared" si="29"/>
        <v>557</v>
      </c>
      <c r="I333" s="47">
        <f t="shared" si="29"/>
        <v>226.01</v>
      </c>
      <c r="J333" s="47">
        <f t="shared" si="29"/>
        <v>783.01</v>
      </c>
      <c r="K333" s="47">
        <f t="shared" si="29"/>
        <v>4.151</v>
      </c>
      <c r="L333" s="47">
        <f t="shared" si="29"/>
        <v>787.161</v>
      </c>
    </row>
    <row r="334" spans="1:12" ht="45.75">
      <c r="A334" s="91" t="s">
        <v>192</v>
      </c>
      <c r="B334" s="64" t="s">
        <v>258</v>
      </c>
      <c r="C334" s="64" t="s">
        <v>6</v>
      </c>
      <c r="D334" s="64" t="s">
        <v>12</v>
      </c>
      <c r="E334" s="64" t="s">
        <v>115</v>
      </c>
      <c r="F334" s="64"/>
      <c r="G334" s="22" t="e">
        <f>#REF!+#REF!</f>
        <v>#REF!</v>
      </c>
      <c r="H334" s="49">
        <f>H335+H336+H337+H338</f>
        <v>557</v>
      </c>
      <c r="I334" s="49">
        <f>I335+I336+I337+I338</f>
        <v>226.01</v>
      </c>
      <c r="J334" s="49">
        <f>J335+J336+J337+J338</f>
        <v>783.01</v>
      </c>
      <c r="K334" s="49">
        <f>K335+K336+K337+K338</f>
        <v>4.151</v>
      </c>
      <c r="L334" s="49">
        <f>L335+L336+L337+L338</f>
        <v>787.161</v>
      </c>
    </row>
    <row r="335" spans="1:12" ht="15">
      <c r="A335" s="82" t="s">
        <v>340</v>
      </c>
      <c r="B335" s="64" t="s">
        <v>258</v>
      </c>
      <c r="C335" s="64" t="s">
        <v>6</v>
      </c>
      <c r="D335" s="64" t="s">
        <v>12</v>
      </c>
      <c r="E335" s="64" t="s">
        <v>117</v>
      </c>
      <c r="F335" s="64" t="s">
        <v>151</v>
      </c>
      <c r="G335" s="22"/>
      <c r="H335" s="49">
        <v>555</v>
      </c>
      <c r="I335" s="49">
        <v>218.01</v>
      </c>
      <c r="J335" s="49">
        <f>SUM(H335:I335)</f>
        <v>773.01</v>
      </c>
      <c r="K335" s="49">
        <f>3.701+0.45</f>
        <v>4.151</v>
      </c>
      <c r="L335" s="49">
        <f>SUM(J335:K335)</f>
        <v>777.161</v>
      </c>
    </row>
    <row r="336" spans="1:12" ht="32.25" customHeight="1" hidden="1">
      <c r="A336" s="82" t="s">
        <v>153</v>
      </c>
      <c r="B336" s="64" t="s">
        <v>258</v>
      </c>
      <c r="C336" s="64" t="s">
        <v>6</v>
      </c>
      <c r="D336" s="64" t="s">
        <v>12</v>
      </c>
      <c r="E336" s="64" t="s">
        <v>117</v>
      </c>
      <c r="F336" s="64" t="s">
        <v>154</v>
      </c>
      <c r="G336" s="22"/>
      <c r="H336" s="49"/>
      <c r="I336" s="49"/>
      <c r="J336" s="49">
        <f>SUM(H336:I336)</f>
        <v>0</v>
      </c>
      <c r="K336" s="49"/>
      <c r="L336" s="49">
        <f>SUM(J336:K336)</f>
        <v>0</v>
      </c>
    </row>
    <row r="337" spans="1:12" ht="32.25" customHeight="1" hidden="1">
      <c r="A337" s="82" t="s">
        <v>156</v>
      </c>
      <c r="B337" s="64" t="s">
        <v>258</v>
      </c>
      <c r="C337" s="64" t="s">
        <v>6</v>
      </c>
      <c r="D337" s="64" t="s">
        <v>12</v>
      </c>
      <c r="E337" s="64" t="s">
        <v>117</v>
      </c>
      <c r="F337" s="64" t="s">
        <v>157</v>
      </c>
      <c r="G337" s="22"/>
      <c r="H337" s="49"/>
      <c r="I337" s="49"/>
      <c r="J337" s="49">
        <f>SUM(H337:I337)</f>
        <v>0</v>
      </c>
      <c r="K337" s="49"/>
      <c r="L337" s="49">
        <f>SUM(J337:K337)</f>
        <v>0</v>
      </c>
    </row>
    <row r="338" spans="1:12" ht="33.75">
      <c r="A338" s="79" t="s">
        <v>499</v>
      </c>
      <c r="B338" s="64" t="s">
        <v>258</v>
      </c>
      <c r="C338" s="64" t="s">
        <v>6</v>
      </c>
      <c r="D338" s="64" t="s">
        <v>12</v>
      </c>
      <c r="E338" s="64" t="s">
        <v>117</v>
      </c>
      <c r="F338" s="64" t="s">
        <v>147</v>
      </c>
      <c r="G338" s="22"/>
      <c r="H338" s="49">
        <v>2</v>
      </c>
      <c r="I338" s="49">
        <v>8</v>
      </c>
      <c r="J338" s="49">
        <f>SUM(H338:I338)</f>
        <v>10</v>
      </c>
      <c r="K338" s="49"/>
      <c r="L338" s="49">
        <f>SUM(J338:K338)</f>
        <v>10</v>
      </c>
    </row>
    <row r="339" spans="1:12" s="27" customFormat="1" ht="21.75">
      <c r="A339" s="89" t="s">
        <v>268</v>
      </c>
      <c r="B339" s="63" t="s">
        <v>258</v>
      </c>
      <c r="C339" s="63" t="s">
        <v>6</v>
      </c>
      <c r="D339" s="63" t="s">
        <v>14</v>
      </c>
      <c r="E339" s="63"/>
      <c r="F339" s="63"/>
      <c r="G339" s="17" t="e">
        <f aca="true" t="shared" si="30" ref="G339:L339">G340</f>
        <v>#REF!</v>
      </c>
      <c r="H339" s="51">
        <f t="shared" si="30"/>
        <v>100</v>
      </c>
      <c r="I339" s="47">
        <f t="shared" si="30"/>
        <v>100</v>
      </c>
      <c r="J339" s="47">
        <f t="shared" si="30"/>
        <v>1014</v>
      </c>
      <c r="K339" s="47">
        <f t="shared" si="30"/>
        <v>0</v>
      </c>
      <c r="L339" s="47">
        <f t="shared" si="30"/>
        <v>1014</v>
      </c>
    </row>
    <row r="340" spans="1:12" ht="18" customHeight="1">
      <c r="A340" s="90" t="s">
        <v>269</v>
      </c>
      <c r="B340" s="64" t="s">
        <v>258</v>
      </c>
      <c r="C340" s="64" t="s">
        <v>6</v>
      </c>
      <c r="D340" s="64" t="s">
        <v>14</v>
      </c>
      <c r="E340" s="64" t="s">
        <v>270</v>
      </c>
      <c r="F340" s="64"/>
      <c r="G340" s="22" t="e">
        <f>G343</f>
        <v>#REF!</v>
      </c>
      <c r="H340" s="52">
        <f>H343+H341</f>
        <v>100</v>
      </c>
      <c r="I340" s="52">
        <f>I343+I341</f>
        <v>100</v>
      </c>
      <c r="J340" s="52">
        <f>J343+J341</f>
        <v>1014</v>
      </c>
      <c r="K340" s="52">
        <f>K343+K341</f>
        <v>0</v>
      </c>
      <c r="L340" s="52">
        <f>L343+L341</f>
        <v>1014</v>
      </c>
    </row>
    <row r="341" spans="1:12" ht="18" customHeight="1">
      <c r="A341" s="90" t="s">
        <v>450</v>
      </c>
      <c r="B341" s="64" t="s">
        <v>258</v>
      </c>
      <c r="C341" s="64" t="s">
        <v>6</v>
      </c>
      <c r="D341" s="64" t="s">
        <v>14</v>
      </c>
      <c r="E341" s="64" t="s">
        <v>449</v>
      </c>
      <c r="F341" s="64"/>
      <c r="G341" s="22" t="e">
        <f>#REF!</f>
        <v>#REF!</v>
      </c>
      <c r="H341" s="53">
        <f>H342</f>
        <v>0</v>
      </c>
      <c r="I341" s="53">
        <f>I342</f>
        <v>100</v>
      </c>
      <c r="J341" s="53">
        <f>J342</f>
        <v>514</v>
      </c>
      <c r="K341" s="53">
        <f>K342</f>
        <v>0</v>
      </c>
      <c r="L341" s="53">
        <f>L342</f>
        <v>514</v>
      </c>
    </row>
    <row r="342" spans="1:12" ht="22.5" customHeight="1">
      <c r="A342" s="79" t="s">
        <v>499</v>
      </c>
      <c r="B342" s="64" t="s">
        <v>258</v>
      </c>
      <c r="C342" s="64" t="s">
        <v>6</v>
      </c>
      <c r="D342" s="64" t="s">
        <v>14</v>
      </c>
      <c r="E342" s="64" t="s">
        <v>449</v>
      </c>
      <c r="F342" s="64" t="s">
        <v>147</v>
      </c>
      <c r="G342" s="22"/>
      <c r="H342" s="52"/>
      <c r="I342" s="49">
        <v>100</v>
      </c>
      <c r="J342" s="49">
        <v>514</v>
      </c>
      <c r="K342" s="49"/>
      <c r="L342" s="49">
        <f>J342+K342</f>
        <v>514</v>
      </c>
    </row>
    <row r="343" spans="1:12" ht="28.5" customHeight="1">
      <c r="A343" s="90" t="s">
        <v>271</v>
      </c>
      <c r="B343" s="64" t="s">
        <v>258</v>
      </c>
      <c r="C343" s="64" t="s">
        <v>6</v>
      </c>
      <c r="D343" s="64" t="s">
        <v>14</v>
      </c>
      <c r="E343" s="64" t="s">
        <v>272</v>
      </c>
      <c r="F343" s="64"/>
      <c r="G343" s="22" t="e">
        <f>#REF!</f>
        <v>#REF!</v>
      </c>
      <c r="H343" s="53">
        <f>H344</f>
        <v>100</v>
      </c>
      <c r="I343" s="53">
        <f>I344</f>
        <v>0</v>
      </c>
      <c r="J343" s="53">
        <f>J344</f>
        <v>500</v>
      </c>
      <c r="K343" s="53">
        <f>K344</f>
        <v>0</v>
      </c>
      <c r="L343" s="53">
        <f>L344</f>
        <v>500</v>
      </c>
    </row>
    <row r="344" spans="1:12" ht="23.25" customHeight="1">
      <c r="A344" s="79" t="s">
        <v>499</v>
      </c>
      <c r="B344" s="64" t="s">
        <v>258</v>
      </c>
      <c r="C344" s="64" t="s">
        <v>6</v>
      </c>
      <c r="D344" s="64" t="s">
        <v>14</v>
      </c>
      <c r="E344" s="64" t="s">
        <v>272</v>
      </c>
      <c r="F344" s="64" t="s">
        <v>147</v>
      </c>
      <c r="G344" s="22"/>
      <c r="H344" s="52">
        <v>100</v>
      </c>
      <c r="I344" s="49"/>
      <c r="J344" s="49">
        <v>500</v>
      </c>
      <c r="K344" s="49"/>
      <c r="L344" s="49">
        <f>J344+K344</f>
        <v>500</v>
      </c>
    </row>
    <row r="345" spans="1:12" ht="16.5" customHeight="1">
      <c r="A345" s="89" t="s">
        <v>19</v>
      </c>
      <c r="B345" s="63" t="s">
        <v>258</v>
      </c>
      <c r="C345" s="63" t="s">
        <v>6</v>
      </c>
      <c r="D345" s="63" t="s">
        <v>18</v>
      </c>
      <c r="E345" s="63"/>
      <c r="F345" s="63"/>
      <c r="G345" s="17">
        <f>G357+G346</f>
        <v>0</v>
      </c>
      <c r="H345" s="47">
        <f>H346+H348+H357+H362+H353+H364</f>
        <v>788.79</v>
      </c>
      <c r="I345" s="47">
        <f>I346+I348+I357+I362+I353+I364</f>
        <v>6373.91</v>
      </c>
      <c r="J345" s="47">
        <f>J346+J348+J357+J362+J353+J364</f>
        <v>7584.24</v>
      </c>
      <c r="K345" s="47">
        <f>K346+K348+K357+K362+K353+K364</f>
        <v>219.89</v>
      </c>
      <c r="L345" s="47">
        <f>L346+L348+L357+L362+L353+L364</f>
        <v>7804.13</v>
      </c>
    </row>
    <row r="346" spans="1:12" ht="24" customHeight="1">
      <c r="A346" s="98" t="s">
        <v>263</v>
      </c>
      <c r="B346" s="64" t="s">
        <v>258</v>
      </c>
      <c r="C346" s="64" t="s">
        <v>6</v>
      </c>
      <c r="D346" s="64" t="s">
        <v>18</v>
      </c>
      <c r="E346" s="64" t="s">
        <v>264</v>
      </c>
      <c r="F346" s="64"/>
      <c r="G346" s="22">
        <f>G349</f>
        <v>195</v>
      </c>
      <c r="H346" s="49">
        <f>H347</f>
        <v>54.3</v>
      </c>
      <c r="I346" s="49">
        <f>I347</f>
        <v>-5.3</v>
      </c>
      <c r="J346" s="49">
        <f>J347</f>
        <v>49</v>
      </c>
      <c r="K346" s="49">
        <f>K347</f>
        <v>0</v>
      </c>
      <c r="L346" s="49">
        <f>L347</f>
        <v>49</v>
      </c>
    </row>
    <row r="347" spans="1:12" ht="27.75" customHeight="1">
      <c r="A347" s="79" t="s">
        <v>499</v>
      </c>
      <c r="B347" s="64" t="s">
        <v>258</v>
      </c>
      <c r="C347" s="64" t="s">
        <v>6</v>
      </c>
      <c r="D347" s="64" t="s">
        <v>18</v>
      </c>
      <c r="E347" s="64" t="s">
        <v>264</v>
      </c>
      <c r="F347" s="64" t="s">
        <v>147</v>
      </c>
      <c r="G347" s="22"/>
      <c r="H347" s="52">
        <v>54.3</v>
      </c>
      <c r="I347" s="49">
        <v>-5.3</v>
      </c>
      <c r="J347" s="49">
        <f>H347+I347</f>
        <v>49</v>
      </c>
      <c r="K347" s="49"/>
      <c r="L347" s="49">
        <f>J347+K347</f>
        <v>49</v>
      </c>
    </row>
    <row r="348" spans="1:12" ht="28.5" customHeight="1">
      <c r="A348" s="98" t="s">
        <v>273</v>
      </c>
      <c r="B348" s="64" t="s">
        <v>258</v>
      </c>
      <c r="C348" s="64" t="s">
        <v>6</v>
      </c>
      <c r="D348" s="64" t="s">
        <v>18</v>
      </c>
      <c r="E348" s="64" t="s">
        <v>274</v>
      </c>
      <c r="F348" s="64"/>
      <c r="G348" s="22"/>
      <c r="H348" s="49">
        <f>H349+H350+H351+H352</f>
        <v>479</v>
      </c>
      <c r="I348" s="49">
        <f>I349+I350+I351+I352</f>
        <v>126</v>
      </c>
      <c r="J348" s="49">
        <f>J349+J350+J351+J352</f>
        <v>605</v>
      </c>
      <c r="K348" s="49">
        <f>K349+K350+K351+K352</f>
        <v>33.04</v>
      </c>
      <c r="L348" s="49">
        <f>L349+L350+L351+L352</f>
        <v>638.0400000000001</v>
      </c>
    </row>
    <row r="349" spans="1:12" ht="28.5" customHeight="1" hidden="1">
      <c r="A349" s="90" t="s">
        <v>96</v>
      </c>
      <c r="B349" s="64" t="s">
        <v>258</v>
      </c>
      <c r="C349" s="64" t="s">
        <v>6</v>
      </c>
      <c r="D349" s="64" t="s">
        <v>18</v>
      </c>
      <c r="E349" s="64" t="s">
        <v>274</v>
      </c>
      <c r="F349" s="64" t="s">
        <v>97</v>
      </c>
      <c r="G349" s="22">
        <v>195</v>
      </c>
      <c r="H349" s="52"/>
      <c r="I349" s="49"/>
      <c r="J349" s="49">
        <f>H349+I349</f>
        <v>0</v>
      </c>
      <c r="K349" s="49"/>
      <c r="L349" s="49">
        <f>J349+K349</f>
        <v>0</v>
      </c>
    </row>
    <row r="350" spans="1:12" ht="14.25" customHeight="1">
      <c r="A350" s="79" t="s">
        <v>150</v>
      </c>
      <c r="B350" s="64" t="s">
        <v>258</v>
      </c>
      <c r="C350" s="64" t="s">
        <v>6</v>
      </c>
      <c r="D350" s="64" t="s">
        <v>18</v>
      </c>
      <c r="E350" s="64" t="s">
        <v>274</v>
      </c>
      <c r="F350" s="64" t="s">
        <v>151</v>
      </c>
      <c r="G350" s="22"/>
      <c r="H350" s="49">
        <v>328.56</v>
      </c>
      <c r="I350" s="49">
        <v>126</v>
      </c>
      <c r="J350" s="49">
        <v>396.521</v>
      </c>
      <c r="K350" s="49">
        <f>33.04</f>
        <v>33.04</v>
      </c>
      <c r="L350" s="49">
        <f>J350+K350</f>
        <v>429.56100000000004</v>
      </c>
    </row>
    <row r="351" spans="1:12" ht="28.5" customHeight="1">
      <c r="A351" s="79" t="s">
        <v>153</v>
      </c>
      <c r="B351" s="64" t="s">
        <v>258</v>
      </c>
      <c r="C351" s="64" t="s">
        <v>6</v>
      </c>
      <c r="D351" s="64" t="s">
        <v>18</v>
      </c>
      <c r="E351" s="64" t="s">
        <v>274</v>
      </c>
      <c r="F351" s="64" t="s">
        <v>154</v>
      </c>
      <c r="G351" s="22"/>
      <c r="H351" s="49">
        <v>1</v>
      </c>
      <c r="I351" s="49"/>
      <c r="J351" s="49">
        <f>H351+I351</f>
        <v>1</v>
      </c>
      <c r="K351" s="49"/>
      <c r="L351" s="49">
        <f>J351+K351</f>
        <v>1</v>
      </c>
    </row>
    <row r="352" spans="1:12" ht="28.5" customHeight="1">
      <c r="A352" s="79" t="s">
        <v>499</v>
      </c>
      <c r="B352" s="64" t="s">
        <v>258</v>
      </c>
      <c r="C352" s="64" t="s">
        <v>6</v>
      </c>
      <c r="D352" s="64" t="s">
        <v>18</v>
      </c>
      <c r="E352" s="64" t="s">
        <v>274</v>
      </c>
      <c r="F352" s="64" t="s">
        <v>147</v>
      </c>
      <c r="G352" s="22"/>
      <c r="H352" s="49">
        <v>149.44</v>
      </c>
      <c r="I352" s="49"/>
      <c r="J352" s="49">
        <v>207.479</v>
      </c>
      <c r="K352" s="49"/>
      <c r="L352" s="49">
        <f>J352+K352</f>
        <v>207.479</v>
      </c>
    </row>
    <row r="353" spans="1:12" ht="56.25">
      <c r="A353" s="94" t="s">
        <v>203</v>
      </c>
      <c r="B353" s="70" t="s">
        <v>258</v>
      </c>
      <c r="C353" s="70" t="s">
        <v>6</v>
      </c>
      <c r="D353" s="70" t="s">
        <v>18</v>
      </c>
      <c r="E353" s="70" t="s">
        <v>204</v>
      </c>
      <c r="F353" s="64"/>
      <c r="G353" s="22"/>
      <c r="H353" s="49">
        <f>H354+H355+H356</f>
        <v>0</v>
      </c>
      <c r="I353" s="49">
        <f>I354+I355+I356</f>
        <v>212</v>
      </c>
      <c r="J353" s="49">
        <f>J354+J355+J356</f>
        <v>212</v>
      </c>
      <c r="K353" s="49">
        <f>K354+K355+K356</f>
        <v>0</v>
      </c>
      <c r="L353" s="49">
        <f>L354+L355+L356</f>
        <v>212</v>
      </c>
    </row>
    <row r="354" spans="1:12" ht="15.75" customHeight="1">
      <c r="A354" s="79" t="s">
        <v>150</v>
      </c>
      <c r="B354" s="70" t="s">
        <v>258</v>
      </c>
      <c r="C354" s="70" t="s">
        <v>6</v>
      </c>
      <c r="D354" s="70" t="s">
        <v>18</v>
      </c>
      <c r="E354" s="70" t="s">
        <v>204</v>
      </c>
      <c r="F354" s="64" t="s">
        <v>151</v>
      </c>
      <c r="G354" s="22"/>
      <c r="H354" s="49"/>
      <c r="I354" s="49">
        <v>212</v>
      </c>
      <c r="J354" s="49">
        <f>H354+I354</f>
        <v>212</v>
      </c>
      <c r="K354" s="49"/>
      <c r="L354" s="49">
        <f>J354+K354</f>
        <v>212</v>
      </c>
    </row>
    <row r="355" spans="1:12" ht="31.5" customHeight="1" hidden="1">
      <c r="A355" s="79" t="s">
        <v>156</v>
      </c>
      <c r="B355" s="64" t="s">
        <v>258</v>
      </c>
      <c r="C355" s="64" t="s">
        <v>6</v>
      </c>
      <c r="D355" s="64" t="s">
        <v>18</v>
      </c>
      <c r="E355" s="64" t="s">
        <v>423</v>
      </c>
      <c r="F355" s="64" t="s">
        <v>157</v>
      </c>
      <c r="G355" s="22"/>
      <c r="H355" s="49"/>
      <c r="I355" s="49"/>
      <c r="J355" s="49">
        <f>H355+I355</f>
        <v>0</v>
      </c>
      <c r="K355" s="49"/>
      <c r="L355" s="49">
        <f>J355+K355</f>
        <v>0</v>
      </c>
    </row>
    <row r="356" spans="1:12" ht="31.5" customHeight="1" hidden="1">
      <c r="A356" s="79" t="s">
        <v>145</v>
      </c>
      <c r="B356" s="64" t="s">
        <v>258</v>
      </c>
      <c r="C356" s="64" t="s">
        <v>6</v>
      </c>
      <c r="D356" s="64" t="s">
        <v>18</v>
      </c>
      <c r="E356" s="64" t="s">
        <v>423</v>
      </c>
      <c r="F356" s="64" t="s">
        <v>147</v>
      </c>
      <c r="G356" s="22"/>
      <c r="H356" s="49"/>
      <c r="I356" s="49"/>
      <c r="J356" s="49">
        <f>H356+I356</f>
        <v>0</v>
      </c>
      <c r="K356" s="49"/>
      <c r="L356" s="49">
        <f>J356+K356</f>
        <v>0</v>
      </c>
    </row>
    <row r="357" spans="1:12" ht="29.25" customHeight="1">
      <c r="A357" s="90" t="s">
        <v>275</v>
      </c>
      <c r="B357" s="64" t="s">
        <v>258</v>
      </c>
      <c r="C357" s="64" t="s">
        <v>6</v>
      </c>
      <c r="D357" s="64" t="s">
        <v>18</v>
      </c>
      <c r="E357" s="64" t="s">
        <v>276</v>
      </c>
      <c r="F357" s="64"/>
      <c r="G357" s="22">
        <f aca="true" t="shared" si="31" ref="G357:L357">G358</f>
        <v>-195</v>
      </c>
      <c r="H357" s="52">
        <f t="shared" si="31"/>
        <v>135</v>
      </c>
      <c r="I357" s="49">
        <f t="shared" si="31"/>
        <v>-0.8</v>
      </c>
      <c r="J357" s="49">
        <f t="shared" si="31"/>
        <v>269.2</v>
      </c>
      <c r="K357" s="49">
        <f t="shared" si="31"/>
        <v>5.7570000000000014</v>
      </c>
      <c r="L357" s="49">
        <f t="shared" si="31"/>
        <v>274.957</v>
      </c>
    </row>
    <row r="358" spans="1:12" ht="17.25" customHeight="1">
      <c r="A358" s="90" t="s">
        <v>98</v>
      </c>
      <c r="B358" s="64" t="s">
        <v>258</v>
      </c>
      <c r="C358" s="64" t="s">
        <v>6</v>
      </c>
      <c r="D358" s="64" t="s">
        <v>18</v>
      </c>
      <c r="E358" s="64" t="s">
        <v>277</v>
      </c>
      <c r="F358" s="64"/>
      <c r="G358" s="22">
        <f>G360</f>
        <v>-195</v>
      </c>
      <c r="H358" s="49">
        <f>H360+H361</f>
        <v>135</v>
      </c>
      <c r="I358" s="49">
        <f>I360+I361</f>
        <v>-0.8</v>
      </c>
      <c r="J358" s="49">
        <f>J360+J361+J359</f>
        <v>269.2</v>
      </c>
      <c r="K358" s="49">
        <f>K360+K361+K359</f>
        <v>5.7570000000000014</v>
      </c>
      <c r="L358" s="49">
        <f>L360+L361+L359</f>
        <v>274.957</v>
      </c>
    </row>
    <row r="359" spans="1:12" ht="17.25" customHeight="1">
      <c r="A359" s="79" t="s">
        <v>150</v>
      </c>
      <c r="B359" s="64" t="s">
        <v>258</v>
      </c>
      <c r="C359" s="64" t="s">
        <v>6</v>
      </c>
      <c r="D359" s="64" t="s">
        <v>18</v>
      </c>
      <c r="E359" s="64" t="s">
        <v>277</v>
      </c>
      <c r="F359" s="64" t="s">
        <v>151</v>
      </c>
      <c r="G359" s="22"/>
      <c r="H359" s="49"/>
      <c r="I359" s="49"/>
      <c r="J359" s="49"/>
      <c r="K359" s="49">
        <v>25.5</v>
      </c>
      <c r="L359" s="49">
        <f>J359+K359</f>
        <v>25.5</v>
      </c>
    </row>
    <row r="360" spans="1:12" ht="27.75" customHeight="1">
      <c r="A360" s="118" t="s">
        <v>490</v>
      </c>
      <c r="B360" s="64" t="s">
        <v>258</v>
      </c>
      <c r="C360" s="64" t="s">
        <v>6</v>
      </c>
      <c r="D360" s="64" t="s">
        <v>18</v>
      </c>
      <c r="E360" s="64" t="s">
        <v>277</v>
      </c>
      <c r="F360" s="64" t="s">
        <v>410</v>
      </c>
      <c r="G360" s="22">
        <v>-195</v>
      </c>
      <c r="H360" s="52"/>
      <c r="I360" s="49"/>
      <c r="J360" s="49">
        <v>135</v>
      </c>
      <c r="K360" s="49">
        <v>-19.743</v>
      </c>
      <c r="L360" s="49">
        <f>J360+K360</f>
        <v>115.257</v>
      </c>
    </row>
    <row r="361" spans="1:12" ht="27" customHeight="1">
      <c r="A361" s="79" t="s">
        <v>499</v>
      </c>
      <c r="B361" s="64" t="s">
        <v>258</v>
      </c>
      <c r="C361" s="64" t="s">
        <v>6</v>
      </c>
      <c r="D361" s="64" t="s">
        <v>18</v>
      </c>
      <c r="E361" s="64" t="s">
        <v>277</v>
      </c>
      <c r="F361" s="64" t="s">
        <v>147</v>
      </c>
      <c r="G361" s="22"/>
      <c r="H361" s="52">
        <v>135</v>
      </c>
      <c r="I361" s="49">
        <v>-0.8</v>
      </c>
      <c r="J361" s="49">
        <f>H361+I361</f>
        <v>134.2</v>
      </c>
      <c r="K361" s="49"/>
      <c r="L361" s="49">
        <f>J361+K361</f>
        <v>134.2</v>
      </c>
    </row>
    <row r="362" spans="1:12" ht="27" customHeight="1">
      <c r="A362" s="80" t="s">
        <v>278</v>
      </c>
      <c r="B362" s="64" t="s">
        <v>258</v>
      </c>
      <c r="C362" s="64" t="s">
        <v>6</v>
      </c>
      <c r="D362" s="64" t="s">
        <v>18</v>
      </c>
      <c r="E362" s="64" t="s">
        <v>279</v>
      </c>
      <c r="F362" s="64"/>
      <c r="G362" s="22"/>
      <c r="H362" s="52">
        <f>H363</f>
        <v>120.49</v>
      </c>
      <c r="I362" s="52">
        <f>I363</f>
        <v>879.51</v>
      </c>
      <c r="J362" s="52">
        <f>J363</f>
        <v>1000</v>
      </c>
      <c r="K362" s="52">
        <f>K363</f>
        <v>0</v>
      </c>
      <c r="L362" s="52">
        <f>L363</f>
        <v>1000</v>
      </c>
    </row>
    <row r="363" spans="1:12" ht="27" customHeight="1">
      <c r="A363" s="79" t="s">
        <v>499</v>
      </c>
      <c r="B363" s="64" t="s">
        <v>258</v>
      </c>
      <c r="C363" s="64" t="s">
        <v>6</v>
      </c>
      <c r="D363" s="64" t="s">
        <v>18</v>
      </c>
      <c r="E363" s="64" t="s">
        <v>279</v>
      </c>
      <c r="F363" s="64" t="s">
        <v>147</v>
      </c>
      <c r="G363" s="22"/>
      <c r="H363" s="52">
        <v>120.49</v>
      </c>
      <c r="I363" s="49">
        <v>879.51</v>
      </c>
      <c r="J363" s="49">
        <f>H363+I363</f>
        <v>1000</v>
      </c>
      <c r="K363" s="49"/>
      <c r="L363" s="49">
        <f>J363+K363</f>
        <v>1000</v>
      </c>
    </row>
    <row r="364" spans="1:12" ht="43.5" customHeight="1">
      <c r="A364" s="79" t="s">
        <v>471</v>
      </c>
      <c r="B364" s="64" t="s">
        <v>258</v>
      </c>
      <c r="C364" s="64" t="s">
        <v>6</v>
      </c>
      <c r="D364" s="64" t="s">
        <v>18</v>
      </c>
      <c r="E364" s="64" t="s">
        <v>470</v>
      </c>
      <c r="F364" s="64"/>
      <c r="G364" s="22"/>
      <c r="H364" s="52">
        <f>H366+H367+H368+H369</f>
        <v>0</v>
      </c>
      <c r="I364" s="52">
        <f>I366+I367+I368+I369</f>
        <v>5162.5</v>
      </c>
      <c r="J364" s="52">
        <f>J366+J367+J368+J369+J365</f>
        <v>5449.04</v>
      </c>
      <c r="K364" s="52">
        <f>K366+K367+K368+K369+K365</f>
        <v>181.093</v>
      </c>
      <c r="L364" s="52">
        <f>L366+L367+L368+L369+L365</f>
        <v>5630.133</v>
      </c>
    </row>
    <row r="365" spans="1:12" ht="43.5" customHeight="1">
      <c r="A365" s="79" t="s">
        <v>153</v>
      </c>
      <c r="B365" s="64" t="s">
        <v>258</v>
      </c>
      <c r="C365" s="64" t="s">
        <v>6</v>
      </c>
      <c r="D365" s="64" t="s">
        <v>18</v>
      </c>
      <c r="E365" s="64" t="s">
        <v>470</v>
      </c>
      <c r="F365" s="64" t="s">
        <v>154</v>
      </c>
      <c r="G365" s="22"/>
      <c r="H365" s="52"/>
      <c r="I365" s="52"/>
      <c r="J365" s="52">
        <v>91.4</v>
      </c>
      <c r="K365" s="52"/>
      <c r="L365" s="52">
        <f>J365+K365</f>
        <v>91.4</v>
      </c>
    </row>
    <row r="366" spans="1:12" ht="33.75">
      <c r="A366" s="79" t="s">
        <v>156</v>
      </c>
      <c r="B366" s="64" t="s">
        <v>258</v>
      </c>
      <c r="C366" s="64" t="s">
        <v>6</v>
      </c>
      <c r="D366" s="64" t="s">
        <v>18</v>
      </c>
      <c r="E366" s="64" t="s">
        <v>470</v>
      </c>
      <c r="F366" s="64" t="s">
        <v>157</v>
      </c>
      <c r="G366" s="22"/>
      <c r="H366" s="52"/>
      <c r="I366" s="49">
        <f>114</f>
        <v>114</v>
      </c>
      <c r="J366" s="49">
        <f>H366+I366</f>
        <v>114</v>
      </c>
      <c r="K366" s="49"/>
      <c r="L366" s="49">
        <f>J366+K366</f>
        <v>114</v>
      </c>
    </row>
    <row r="367" spans="1:12" ht="33.75">
      <c r="A367" s="79" t="s">
        <v>499</v>
      </c>
      <c r="B367" s="64" t="s">
        <v>258</v>
      </c>
      <c r="C367" s="64" t="s">
        <v>6</v>
      </c>
      <c r="D367" s="64" t="s">
        <v>18</v>
      </c>
      <c r="E367" s="64" t="s">
        <v>470</v>
      </c>
      <c r="F367" s="64" t="s">
        <v>147</v>
      </c>
      <c r="G367" s="22"/>
      <c r="H367" s="52"/>
      <c r="I367" s="49">
        <f>4926.32-1.5934-496.2266</f>
        <v>4428.5</v>
      </c>
      <c r="J367" s="49">
        <v>4823.64</v>
      </c>
      <c r="K367" s="49">
        <f>-433+625-173.8+39.743+124.2</f>
        <v>182.143</v>
      </c>
      <c r="L367" s="49">
        <f>J367+K367</f>
        <v>5005.783</v>
      </c>
    </row>
    <row r="368" spans="1:12" ht="33.75">
      <c r="A368" s="79" t="s">
        <v>265</v>
      </c>
      <c r="B368" s="64" t="s">
        <v>258</v>
      </c>
      <c r="C368" s="64" t="s">
        <v>6</v>
      </c>
      <c r="D368" s="64" t="s">
        <v>18</v>
      </c>
      <c r="E368" s="64" t="s">
        <v>470</v>
      </c>
      <c r="F368" s="64" t="s">
        <v>159</v>
      </c>
      <c r="G368" s="22"/>
      <c r="H368" s="52"/>
      <c r="I368" s="49">
        <f>376</f>
        <v>376</v>
      </c>
      <c r="J368" s="49">
        <v>326</v>
      </c>
      <c r="K368" s="49"/>
      <c r="L368" s="49">
        <f>J368+K368</f>
        <v>326</v>
      </c>
    </row>
    <row r="369" spans="1:12" ht="15">
      <c r="A369" s="82" t="s">
        <v>160</v>
      </c>
      <c r="B369" s="64" t="s">
        <v>258</v>
      </c>
      <c r="C369" s="64" t="s">
        <v>6</v>
      </c>
      <c r="D369" s="64" t="s">
        <v>18</v>
      </c>
      <c r="E369" s="64" t="s">
        <v>470</v>
      </c>
      <c r="F369" s="64" t="s">
        <v>161</v>
      </c>
      <c r="G369" s="22"/>
      <c r="H369" s="52"/>
      <c r="I369" s="49">
        <f>180+64</f>
        <v>244</v>
      </c>
      <c r="J369" s="49">
        <v>94</v>
      </c>
      <c r="K369" s="49">
        <v>-1.05</v>
      </c>
      <c r="L369" s="49">
        <f>J369+K369</f>
        <v>92.95</v>
      </c>
    </row>
    <row r="370" spans="1:12" s="31" customFormat="1" ht="21.75">
      <c r="A370" s="89" t="s">
        <v>24</v>
      </c>
      <c r="B370" s="63" t="s">
        <v>258</v>
      </c>
      <c r="C370" s="63" t="s">
        <v>8</v>
      </c>
      <c r="D370" s="63"/>
      <c r="E370" s="63"/>
      <c r="F370" s="63"/>
      <c r="G370" s="17" t="e">
        <f>G371</f>
        <v>#REF!</v>
      </c>
      <c r="H370" s="51">
        <f>H371+H375</f>
        <v>100</v>
      </c>
      <c r="I370" s="51">
        <f>I371+I375</f>
        <v>502.851</v>
      </c>
      <c r="J370" s="51">
        <f>J371+J375</f>
        <v>1115.7509999999997</v>
      </c>
      <c r="K370" s="51">
        <f>K371+K375</f>
        <v>-45.79199999999999</v>
      </c>
      <c r="L370" s="51">
        <f>L371+L375</f>
        <v>1069.9589999999998</v>
      </c>
    </row>
    <row r="371" spans="1:12" s="27" customFormat="1" ht="42.75">
      <c r="A371" s="89" t="s">
        <v>280</v>
      </c>
      <c r="B371" s="63" t="s">
        <v>258</v>
      </c>
      <c r="C371" s="63" t="s">
        <v>8</v>
      </c>
      <c r="D371" s="63" t="s">
        <v>28</v>
      </c>
      <c r="E371" s="63"/>
      <c r="F371" s="63"/>
      <c r="G371" s="17" t="e">
        <f>G372</f>
        <v>#REF!</v>
      </c>
      <c r="H371" s="51">
        <f>H372</f>
        <v>75</v>
      </c>
      <c r="I371" s="47">
        <f>I372</f>
        <v>482.851</v>
      </c>
      <c r="J371" s="47">
        <f>J372</f>
        <v>1058.1509999999998</v>
      </c>
      <c r="K371" s="47">
        <f>K372</f>
        <v>-51.79199999999999</v>
      </c>
      <c r="L371" s="47">
        <f>L372</f>
        <v>1006.3589999999999</v>
      </c>
    </row>
    <row r="372" spans="1:12" ht="34.5">
      <c r="A372" s="90" t="s">
        <v>281</v>
      </c>
      <c r="B372" s="64" t="s">
        <v>258</v>
      </c>
      <c r="C372" s="64" t="s">
        <v>8</v>
      </c>
      <c r="D372" s="64" t="s">
        <v>28</v>
      </c>
      <c r="E372" s="64" t="s">
        <v>282</v>
      </c>
      <c r="F372" s="64"/>
      <c r="G372" s="22" t="e">
        <f>#REF!</f>
        <v>#REF!</v>
      </c>
      <c r="H372" s="52">
        <f>H373+H374</f>
        <v>75</v>
      </c>
      <c r="I372" s="52">
        <f>I373+I374</f>
        <v>482.851</v>
      </c>
      <c r="J372" s="52">
        <f>J373+J374</f>
        <v>1058.1509999999998</v>
      </c>
      <c r="K372" s="52">
        <f>K373+K374</f>
        <v>-51.79199999999999</v>
      </c>
      <c r="L372" s="52">
        <f>L373+L374</f>
        <v>1006.3589999999999</v>
      </c>
    </row>
    <row r="373" spans="1:12" ht="32.25" customHeight="1">
      <c r="A373" s="79" t="s">
        <v>150</v>
      </c>
      <c r="B373" s="64" t="s">
        <v>258</v>
      </c>
      <c r="C373" s="64" t="s">
        <v>8</v>
      </c>
      <c r="D373" s="64" t="s">
        <v>28</v>
      </c>
      <c r="E373" s="64" t="s">
        <v>283</v>
      </c>
      <c r="F373" s="64" t="s">
        <v>151</v>
      </c>
      <c r="G373" s="22"/>
      <c r="H373" s="52"/>
      <c r="I373" s="49">
        <v>482.851</v>
      </c>
      <c r="J373" s="49">
        <f>H373+I373</f>
        <v>482.851</v>
      </c>
      <c r="K373" s="49">
        <f>14.208+58.1-6+6</f>
        <v>72.308</v>
      </c>
      <c r="L373" s="49">
        <f>J373+K373</f>
        <v>555.159</v>
      </c>
    </row>
    <row r="374" spans="1:12" ht="24.75" customHeight="1">
      <c r="A374" s="79" t="s">
        <v>145</v>
      </c>
      <c r="B374" s="64" t="s">
        <v>258</v>
      </c>
      <c r="C374" s="64" t="s">
        <v>8</v>
      </c>
      <c r="D374" s="64" t="s">
        <v>28</v>
      </c>
      <c r="E374" s="64" t="s">
        <v>283</v>
      </c>
      <c r="F374" s="64" t="s">
        <v>147</v>
      </c>
      <c r="G374" s="22"/>
      <c r="H374" s="52">
        <v>75</v>
      </c>
      <c r="I374" s="49"/>
      <c r="J374" s="49">
        <v>575.3</v>
      </c>
      <c r="K374" s="49">
        <f>-60-58.1-6</f>
        <v>-124.1</v>
      </c>
      <c r="L374" s="49">
        <f>J374+K374</f>
        <v>451.19999999999993</v>
      </c>
    </row>
    <row r="375" spans="1:12" s="27" customFormat="1" ht="32.25">
      <c r="A375" s="99" t="s">
        <v>29</v>
      </c>
      <c r="B375" s="63" t="s">
        <v>258</v>
      </c>
      <c r="C375" s="63" t="s">
        <v>8</v>
      </c>
      <c r="D375" s="63" t="s">
        <v>20</v>
      </c>
      <c r="E375" s="63"/>
      <c r="F375" s="63"/>
      <c r="G375" s="17"/>
      <c r="H375" s="51">
        <f>H378</f>
        <v>25</v>
      </c>
      <c r="I375" s="51">
        <f>I378</f>
        <v>20</v>
      </c>
      <c r="J375" s="51">
        <f>J378+J376</f>
        <v>57.6</v>
      </c>
      <c r="K375" s="51">
        <f>K378+K376</f>
        <v>6</v>
      </c>
      <c r="L375" s="51">
        <f>L378+L376</f>
        <v>63.6</v>
      </c>
    </row>
    <row r="376" spans="1:12" ht="34.5">
      <c r="A376" s="121" t="s">
        <v>522</v>
      </c>
      <c r="B376" s="64" t="s">
        <v>258</v>
      </c>
      <c r="C376" s="64" t="s">
        <v>8</v>
      </c>
      <c r="D376" s="64" t="s">
        <v>20</v>
      </c>
      <c r="E376" s="64" t="s">
        <v>521</v>
      </c>
      <c r="F376" s="64"/>
      <c r="G376" s="22"/>
      <c r="H376" s="52"/>
      <c r="I376" s="52"/>
      <c r="J376" s="52">
        <f>J377</f>
        <v>12.6</v>
      </c>
      <c r="K376" s="52">
        <f>K377</f>
        <v>5.4</v>
      </c>
      <c r="L376" s="52">
        <f>L377</f>
        <v>18</v>
      </c>
    </row>
    <row r="377" spans="1:12" ht="27" customHeight="1">
      <c r="A377" s="79" t="s">
        <v>499</v>
      </c>
      <c r="B377" s="64" t="s">
        <v>258</v>
      </c>
      <c r="C377" s="64" t="s">
        <v>8</v>
      </c>
      <c r="D377" s="64" t="s">
        <v>20</v>
      </c>
      <c r="E377" s="64" t="s">
        <v>521</v>
      </c>
      <c r="F377" s="64" t="s">
        <v>147</v>
      </c>
      <c r="G377" s="22"/>
      <c r="H377" s="52"/>
      <c r="I377" s="52"/>
      <c r="J377" s="52">
        <v>12.6</v>
      </c>
      <c r="K377" s="52">
        <f>5.4</f>
        <v>5.4</v>
      </c>
      <c r="L377" s="52">
        <f>J377+K377</f>
        <v>18</v>
      </c>
    </row>
    <row r="378" spans="1:12" s="27" customFormat="1" ht="14.25">
      <c r="A378" s="90" t="s">
        <v>312</v>
      </c>
      <c r="B378" s="64" t="s">
        <v>258</v>
      </c>
      <c r="C378" s="64" t="s">
        <v>8</v>
      </c>
      <c r="D378" s="64" t="s">
        <v>20</v>
      </c>
      <c r="E378" s="64" t="s">
        <v>252</v>
      </c>
      <c r="F378" s="64"/>
      <c r="G378" s="22"/>
      <c r="H378" s="52">
        <f>H379+H381</f>
        <v>25</v>
      </c>
      <c r="I378" s="52">
        <f>I379+I381</f>
        <v>20</v>
      </c>
      <c r="J378" s="52">
        <f>J379+J381</f>
        <v>45</v>
      </c>
      <c r="K378" s="52">
        <f>K379+K381</f>
        <v>0.6</v>
      </c>
      <c r="L378" s="52">
        <f>L379+L381</f>
        <v>45.6</v>
      </c>
    </row>
    <row r="379" spans="1:12" ht="56.25">
      <c r="A379" s="80" t="s">
        <v>284</v>
      </c>
      <c r="B379" s="64" t="s">
        <v>258</v>
      </c>
      <c r="C379" s="64" t="s">
        <v>8</v>
      </c>
      <c r="D379" s="64" t="s">
        <v>20</v>
      </c>
      <c r="E379" s="64" t="s">
        <v>285</v>
      </c>
      <c r="F379" s="64"/>
      <c r="G379" s="22"/>
      <c r="H379" s="52">
        <f>H380</f>
        <v>15</v>
      </c>
      <c r="I379" s="52">
        <f>I380</f>
        <v>0</v>
      </c>
      <c r="J379" s="52">
        <f>J380</f>
        <v>15</v>
      </c>
      <c r="K379" s="52">
        <f>K380</f>
        <v>0</v>
      </c>
      <c r="L379" s="52">
        <f>L380</f>
        <v>15</v>
      </c>
    </row>
    <row r="380" spans="1:12" ht="24.75" customHeight="1">
      <c r="A380" s="79" t="s">
        <v>499</v>
      </c>
      <c r="B380" s="64" t="s">
        <v>258</v>
      </c>
      <c r="C380" s="64" t="s">
        <v>8</v>
      </c>
      <c r="D380" s="64" t="s">
        <v>20</v>
      </c>
      <c r="E380" s="64" t="s">
        <v>285</v>
      </c>
      <c r="F380" s="64" t="s">
        <v>147</v>
      </c>
      <c r="G380" s="22"/>
      <c r="H380" s="52">
        <v>15</v>
      </c>
      <c r="I380" s="52"/>
      <c r="J380" s="52">
        <f>H380+I380</f>
        <v>15</v>
      </c>
      <c r="K380" s="52"/>
      <c r="L380" s="52">
        <f>J380+K380</f>
        <v>15</v>
      </c>
    </row>
    <row r="381" spans="1:12" ht="33.75">
      <c r="A381" s="79" t="s">
        <v>286</v>
      </c>
      <c r="B381" s="64" t="s">
        <v>258</v>
      </c>
      <c r="C381" s="64" t="s">
        <v>8</v>
      </c>
      <c r="D381" s="64" t="s">
        <v>20</v>
      </c>
      <c r="E381" s="64" t="s">
        <v>287</v>
      </c>
      <c r="F381" s="64"/>
      <c r="G381" s="22"/>
      <c r="H381" s="52">
        <f>H382</f>
        <v>10</v>
      </c>
      <c r="I381" s="52">
        <f>I382</f>
        <v>20</v>
      </c>
      <c r="J381" s="52">
        <f>J382</f>
        <v>30</v>
      </c>
      <c r="K381" s="52">
        <f>K382</f>
        <v>0.6</v>
      </c>
      <c r="L381" s="52">
        <f>L382</f>
        <v>30.6</v>
      </c>
    </row>
    <row r="382" spans="1:12" ht="21.75" customHeight="1">
      <c r="A382" s="79" t="s">
        <v>499</v>
      </c>
      <c r="B382" s="64" t="s">
        <v>258</v>
      </c>
      <c r="C382" s="64" t="s">
        <v>8</v>
      </c>
      <c r="D382" s="64" t="s">
        <v>20</v>
      </c>
      <c r="E382" s="64" t="s">
        <v>287</v>
      </c>
      <c r="F382" s="64" t="s">
        <v>147</v>
      </c>
      <c r="G382" s="22"/>
      <c r="H382" s="52">
        <v>10</v>
      </c>
      <c r="I382" s="49">
        <v>20</v>
      </c>
      <c r="J382" s="49">
        <f>H382+I382</f>
        <v>30</v>
      </c>
      <c r="K382" s="49">
        <v>0.6</v>
      </c>
      <c r="L382" s="49">
        <f>J382+K382</f>
        <v>30.6</v>
      </c>
    </row>
    <row r="383" spans="1:12" ht="21.75" customHeight="1" hidden="1">
      <c r="A383" s="79" t="s">
        <v>460</v>
      </c>
      <c r="B383" s="64" t="s">
        <v>258</v>
      </c>
      <c r="C383" s="64" t="s">
        <v>8</v>
      </c>
      <c r="D383" s="64" t="s">
        <v>20</v>
      </c>
      <c r="E383" s="64" t="s">
        <v>461</v>
      </c>
      <c r="F383" s="64"/>
      <c r="G383" s="22"/>
      <c r="H383" s="52">
        <f>H384</f>
        <v>0</v>
      </c>
      <c r="I383" s="52">
        <f>I384</f>
        <v>0</v>
      </c>
      <c r="J383" s="52">
        <f>J384</f>
        <v>0</v>
      </c>
      <c r="K383" s="52">
        <f>K384</f>
        <v>0</v>
      </c>
      <c r="L383" s="52">
        <f>L384</f>
        <v>0</v>
      </c>
    </row>
    <row r="384" spans="1:12" ht="21.75" customHeight="1" hidden="1">
      <c r="A384" s="79" t="s">
        <v>145</v>
      </c>
      <c r="B384" s="64" t="s">
        <v>258</v>
      </c>
      <c r="C384" s="64" t="s">
        <v>8</v>
      </c>
      <c r="D384" s="64" t="s">
        <v>20</v>
      </c>
      <c r="E384" s="64" t="s">
        <v>462</v>
      </c>
      <c r="F384" s="64" t="s">
        <v>147</v>
      </c>
      <c r="G384" s="22"/>
      <c r="H384" s="52"/>
      <c r="I384" s="49"/>
      <c r="J384" s="49">
        <f>H384+I384</f>
        <v>0</v>
      </c>
      <c r="K384" s="49"/>
      <c r="L384" s="49">
        <f>J384+K384</f>
        <v>0</v>
      </c>
    </row>
    <row r="385" spans="1:12" s="31" customFormat="1" ht="14.25">
      <c r="A385" s="89" t="s">
        <v>30</v>
      </c>
      <c r="B385" s="63" t="s">
        <v>258</v>
      </c>
      <c r="C385" s="63" t="s">
        <v>9</v>
      </c>
      <c r="D385" s="63"/>
      <c r="E385" s="63"/>
      <c r="F385" s="63"/>
      <c r="G385" s="17" t="e">
        <f>G386+G395+#REF!</f>
        <v>#REF!</v>
      </c>
      <c r="H385" s="51">
        <f>H386+H395</f>
        <v>1536.54</v>
      </c>
      <c r="I385" s="51">
        <f>I386+I395</f>
        <v>606.95</v>
      </c>
      <c r="J385" s="51">
        <f>J386+J395+J391</f>
        <v>2343.49</v>
      </c>
      <c r="K385" s="51">
        <f>K386+K395+K391</f>
        <v>2452.16395</v>
      </c>
      <c r="L385" s="51">
        <f>L386+L395+L391</f>
        <v>4795.65395</v>
      </c>
    </row>
    <row r="386" spans="1:12" s="27" customFormat="1" ht="14.25">
      <c r="A386" s="89" t="s">
        <v>33</v>
      </c>
      <c r="B386" s="63" t="s">
        <v>258</v>
      </c>
      <c r="C386" s="63" t="s">
        <v>9</v>
      </c>
      <c r="D386" s="63" t="s">
        <v>11</v>
      </c>
      <c r="E386" s="63"/>
      <c r="F386" s="63"/>
      <c r="G386" s="17">
        <f>G388</f>
        <v>0</v>
      </c>
      <c r="H386" s="51">
        <f aca="true" t="shared" si="32" ref="H386:L387">H387</f>
        <v>160</v>
      </c>
      <c r="I386" s="51">
        <f t="shared" si="32"/>
        <v>160</v>
      </c>
      <c r="J386" s="51">
        <f t="shared" si="32"/>
        <v>520</v>
      </c>
      <c r="K386" s="51">
        <f t="shared" si="32"/>
        <v>-25</v>
      </c>
      <c r="L386" s="51">
        <f t="shared" si="32"/>
        <v>495</v>
      </c>
    </row>
    <row r="387" spans="1:12" ht="15">
      <c r="A387" s="90" t="s">
        <v>312</v>
      </c>
      <c r="B387" s="64" t="s">
        <v>258</v>
      </c>
      <c r="C387" s="64" t="s">
        <v>9</v>
      </c>
      <c r="D387" s="64" t="s">
        <v>11</v>
      </c>
      <c r="E387" s="64" t="s">
        <v>252</v>
      </c>
      <c r="F387" s="64"/>
      <c r="G387" s="22"/>
      <c r="H387" s="52">
        <f t="shared" si="32"/>
        <v>160</v>
      </c>
      <c r="I387" s="52">
        <f t="shared" si="32"/>
        <v>160</v>
      </c>
      <c r="J387" s="52">
        <f t="shared" si="32"/>
        <v>520</v>
      </c>
      <c r="K387" s="52">
        <f t="shared" si="32"/>
        <v>-25</v>
      </c>
      <c r="L387" s="52">
        <f t="shared" si="32"/>
        <v>495</v>
      </c>
    </row>
    <row r="388" spans="1:12" ht="23.25">
      <c r="A388" s="90" t="s">
        <v>288</v>
      </c>
      <c r="B388" s="64" t="s">
        <v>258</v>
      </c>
      <c r="C388" s="64" t="s">
        <v>9</v>
      </c>
      <c r="D388" s="64" t="s">
        <v>11</v>
      </c>
      <c r="E388" s="64" t="s">
        <v>289</v>
      </c>
      <c r="F388" s="64"/>
      <c r="G388" s="22">
        <f>G389</f>
        <v>0</v>
      </c>
      <c r="H388" s="49">
        <f>H389+H390</f>
        <v>160</v>
      </c>
      <c r="I388" s="49">
        <f>I389+I390</f>
        <v>160</v>
      </c>
      <c r="J388" s="49">
        <f>J389+J390</f>
        <v>520</v>
      </c>
      <c r="K388" s="49">
        <f>K389+K390</f>
        <v>-25</v>
      </c>
      <c r="L388" s="49">
        <f>L389+L390</f>
        <v>495</v>
      </c>
    </row>
    <row r="389" spans="1:12" ht="30.75" customHeight="1" hidden="1">
      <c r="A389" s="90" t="s">
        <v>290</v>
      </c>
      <c r="B389" s="64" t="s">
        <v>258</v>
      </c>
      <c r="C389" s="64" t="s">
        <v>9</v>
      </c>
      <c r="D389" s="64" t="s">
        <v>11</v>
      </c>
      <c r="E389" s="64" t="s">
        <v>289</v>
      </c>
      <c r="F389" s="64" t="s">
        <v>291</v>
      </c>
      <c r="G389" s="22"/>
      <c r="H389" s="52"/>
      <c r="I389" s="49"/>
      <c r="J389" s="49">
        <f>H389+I389</f>
        <v>0</v>
      </c>
      <c r="K389" s="49"/>
      <c r="L389" s="49">
        <f>J389+K389</f>
        <v>0</v>
      </c>
    </row>
    <row r="390" spans="1:12" ht="23.25" customHeight="1">
      <c r="A390" s="79" t="s">
        <v>499</v>
      </c>
      <c r="B390" s="64" t="s">
        <v>258</v>
      </c>
      <c r="C390" s="64" t="s">
        <v>9</v>
      </c>
      <c r="D390" s="64" t="s">
        <v>11</v>
      </c>
      <c r="E390" s="64" t="s">
        <v>289</v>
      </c>
      <c r="F390" s="64" t="s">
        <v>147</v>
      </c>
      <c r="G390" s="22"/>
      <c r="H390" s="52">
        <v>160</v>
      </c>
      <c r="I390" s="49">
        <f>60+100</f>
        <v>160</v>
      </c>
      <c r="J390" s="49">
        <v>520</v>
      </c>
      <c r="K390" s="49">
        <v>-25</v>
      </c>
      <c r="L390" s="49">
        <f>J390+K390</f>
        <v>495</v>
      </c>
    </row>
    <row r="391" spans="1:12" ht="23.25" customHeight="1" hidden="1">
      <c r="A391" s="89" t="s">
        <v>418</v>
      </c>
      <c r="B391" s="63" t="s">
        <v>258</v>
      </c>
      <c r="C391" s="63" t="s">
        <v>9</v>
      </c>
      <c r="D391" s="63" t="s">
        <v>28</v>
      </c>
      <c r="E391" s="64"/>
      <c r="F391" s="64"/>
      <c r="G391" s="22"/>
      <c r="H391" s="52"/>
      <c r="I391" s="49"/>
      <c r="J391" s="49">
        <f>J392</f>
        <v>0</v>
      </c>
      <c r="K391" s="49">
        <f aca="true" t="shared" si="33" ref="K391:L393">K392</f>
        <v>0</v>
      </c>
      <c r="L391" s="49">
        <f t="shared" si="33"/>
        <v>0</v>
      </c>
    </row>
    <row r="392" spans="1:12" ht="23.25" customHeight="1" hidden="1">
      <c r="A392" s="79" t="s">
        <v>312</v>
      </c>
      <c r="B392" s="64" t="s">
        <v>258</v>
      </c>
      <c r="C392" s="64" t="s">
        <v>9</v>
      </c>
      <c r="D392" s="64" t="s">
        <v>28</v>
      </c>
      <c r="E392" s="64" t="s">
        <v>252</v>
      </c>
      <c r="F392" s="64"/>
      <c r="G392" s="22"/>
      <c r="H392" s="52"/>
      <c r="I392" s="49"/>
      <c r="J392" s="49">
        <f>J393</f>
        <v>0</v>
      </c>
      <c r="K392" s="49">
        <f t="shared" si="33"/>
        <v>0</v>
      </c>
      <c r="L392" s="49">
        <f t="shared" si="33"/>
        <v>0</v>
      </c>
    </row>
    <row r="393" spans="1:12" ht="23.25" customHeight="1" hidden="1">
      <c r="A393" s="130" t="s">
        <v>395</v>
      </c>
      <c r="B393" s="64" t="s">
        <v>258</v>
      </c>
      <c r="C393" s="64" t="s">
        <v>9</v>
      </c>
      <c r="D393" s="64" t="s">
        <v>28</v>
      </c>
      <c r="E393" s="64" t="s">
        <v>396</v>
      </c>
      <c r="F393" s="64"/>
      <c r="G393" s="22"/>
      <c r="H393" s="52"/>
      <c r="I393" s="49"/>
      <c r="J393" s="49">
        <f>J394</f>
        <v>0</v>
      </c>
      <c r="K393" s="49">
        <f t="shared" si="33"/>
        <v>0</v>
      </c>
      <c r="L393" s="49">
        <f t="shared" si="33"/>
        <v>0</v>
      </c>
    </row>
    <row r="394" spans="1:12" ht="23.25" customHeight="1" hidden="1">
      <c r="A394" s="79" t="s">
        <v>499</v>
      </c>
      <c r="B394" s="64" t="s">
        <v>258</v>
      </c>
      <c r="C394" s="64" t="s">
        <v>9</v>
      </c>
      <c r="D394" s="64" t="s">
        <v>28</v>
      </c>
      <c r="E394" s="64" t="s">
        <v>396</v>
      </c>
      <c r="F394" s="64" t="s">
        <v>147</v>
      </c>
      <c r="G394" s="22"/>
      <c r="H394" s="52"/>
      <c r="I394" s="49"/>
      <c r="J394" s="49"/>
      <c r="K394" s="49">
        <f>300-300</f>
        <v>0</v>
      </c>
      <c r="L394" s="49">
        <f>J394+K394</f>
        <v>0</v>
      </c>
    </row>
    <row r="395" spans="1:12" s="27" customFormat="1" ht="22.5">
      <c r="A395" s="90" t="s">
        <v>292</v>
      </c>
      <c r="B395" s="63" t="s">
        <v>258</v>
      </c>
      <c r="C395" s="63" t="s">
        <v>9</v>
      </c>
      <c r="D395" s="63" t="s">
        <v>17</v>
      </c>
      <c r="E395" s="63"/>
      <c r="F395" s="63"/>
      <c r="G395" s="17" t="e">
        <f>G396+G401+#REF!</f>
        <v>#REF!</v>
      </c>
      <c r="H395" s="51">
        <f>H396+H401+H399+H412</f>
        <v>1376.54</v>
      </c>
      <c r="I395" s="51">
        <f>I396+I401+I399+I412</f>
        <v>446.95000000000005</v>
      </c>
      <c r="J395" s="51">
        <f>J396+J401+J399+J412+J409+J407</f>
        <v>1823.49</v>
      </c>
      <c r="K395" s="51">
        <f>K396+K401+K399+K412+K409+K407</f>
        <v>2477.16395</v>
      </c>
      <c r="L395" s="51">
        <f>L396+L401+L399+L412+L409+L407</f>
        <v>4300.65395</v>
      </c>
    </row>
    <row r="396" spans="1:12" ht="23.25" hidden="1">
      <c r="A396" s="90" t="s">
        <v>297</v>
      </c>
      <c r="B396" s="64" t="s">
        <v>258</v>
      </c>
      <c r="C396" s="64" t="s">
        <v>9</v>
      </c>
      <c r="D396" s="64" t="s">
        <v>17</v>
      </c>
      <c r="E396" s="64" t="s">
        <v>298</v>
      </c>
      <c r="F396" s="64"/>
      <c r="G396" s="21">
        <f aca="true" t="shared" si="34" ref="G396:L396">G397+G398</f>
        <v>2750</v>
      </c>
      <c r="H396" s="49">
        <f t="shared" si="34"/>
        <v>500</v>
      </c>
      <c r="I396" s="49">
        <f t="shared" si="34"/>
        <v>-500</v>
      </c>
      <c r="J396" s="49">
        <f t="shared" si="34"/>
        <v>0</v>
      </c>
      <c r="K396" s="49">
        <f t="shared" si="34"/>
        <v>0</v>
      </c>
      <c r="L396" s="49">
        <f t="shared" si="34"/>
        <v>0</v>
      </c>
    </row>
    <row r="397" spans="1:12" ht="15" customHeight="1" hidden="1">
      <c r="A397" s="90" t="s">
        <v>94</v>
      </c>
      <c r="B397" s="64" t="s">
        <v>258</v>
      </c>
      <c r="C397" s="64" t="s">
        <v>9</v>
      </c>
      <c r="D397" s="64" t="s">
        <v>17</v>
      </c>
      <c r="E397" s="64" t="s">
        <v>298</v>
      </c>
      <c r="F397" s="64" t="s">
        <v>93</v>
      </c>
      <c r="G397" s="22">
        <f>2377+151+222</f>
        <v>2750</v>
      </c>
      <c r="H397" s="52"/>
      <c r="I397" s="49"/>
      <c r="J397" s="49">
        <f>H397+I397</f>
        <v>0</v>
      </c>
      <c r="K397" s="49"/>
      <c r="L397" s="49">
        <f>J397+K397</f>
        <v>0</v>
      </c>
    </row>
    <row r="398" spans="1:12" ht="23.25" customHeight="1" hidden="1">
      <c r="A398" s="79" t="s">
        <v>145</v>
      </c>
      <c r="B398" s="64" t="s">
        <v>258</v>
      </c>
      <c r="C398" s="64" t="s">
        <v>9</v>
      </c>
      <c r="D398" s="64" t="s">
        <v>17</v>
      </c>
      <c r="E398" s="64" t="s">
        <v>298</v>
      </c>
      <c r="F398" s="64" t="s">
        <v>147</v>
      </c>
      <c r="G398" s="22"/>
      <c r="H398" s="52">
        <v>500</v>
      </c>
      <c r="I398" s="49">
        <v>-500</v>
      </c>
      <c r="J398" s="49">
        <f>H398+I398</f>
        <v>0</v>
      </c>
      <c r="K398" s="49"/>
      <c r="L398" s="49">
        <f>J398+K398</f>
        <v>0</v>
      </c>
    </row>
    <row r="399" spans="1:12" ht="15">
      <c r="A399" s="79" t="s">
        <v>299</v>
      </c>
      <c r="B399" s="64" t="s">
        <v>258</v>
      </c>
      <c r="C399" s="64" t="s">
        <v>9</v>
      </c>
      <c r="D399" s="64" t="s">
        <v>17</v>
      </c>
      <c r="E399" s="64" t="s">
        <v>300</v>
      </c>
      <c r="F399" s="64"/>
      <c r="G399" s="22"/>
      <c r="H399" s="52">
        <f>H400</f>
        <v>382.54</v>
      </c>
      <c r="I399" s="52">
        <f>I400</f>
        <v>840.95</v>
      </c>
      <c r="J399" s="52">
        <f>J400</f>
        <v>1223.49</v>
      </c>
      <c r="K399" s="52">
        <f>K400</f>
        <v>0</v>
      </c>
      <c r="L399" s="52">
        <f>L400</f>
        <v>1223.49</v>
      </c>
    </row>
    <row r="400" spans="1:12" ht="37.5" customHeight="1">
      <c r="A400" s="79" t="s">
        <v>502</v>
      </c>
      <c r="B400" s="64" t="s">
        <v>258</v>
      </c>
      <c r="C400" s="64" t="s">
        <v>9</v>
      </c>
      <c r="D400" s="64" t="s">
        <v>17</v>
      </c>
      <c r="E400" s="64" t="s">
        <v>300</v>
      </c>
      <c r="F400" s="64" t="s">
        <v>126</v>
      </c>
      <c r="G400" s="22"/>
      <c r="H400" s="52">
        <v>382.54</v>
      </c>
      <c r="I400" s="49">
        <v>840.95</v>
      </c>
      <c r="J400" s="49">
        <f>H400+I400</f>
        <v>1223.49</v>
      </c>
      <c r="K400" s="49"/>
      <c r="L400" s="49">
        <f>J400+K400</f>
        <v>1223.49</v>
      </c>
    </row>
    <row r="401" spans="1:12" ht="25.5" customHeight="1">
      <c r="A401" s="90" t="s">
        <v>301</v>
      </c>
      <c r="B401" s="64" t="s">
        <v>258</v>
      </c>
      <c r="C401" s="64" t="s">
        <v>9</v>
      </c>
      <c r="D401" s="64" t="s">
        <v>17</v>
      </c>
      <c r="E401" s="64" t="s">
        <v>302</v>
      </c>
      <c r="F401" s="64"/>
      <c r="G401" s="22">
        <f>G404</f>
        <v>550</v>
      </c>
      <c r="H401" s="52">
        <f>H404+H402</f>
        <v>494</v>
      </c>
      <c r="I401" s="52">
        <f>I404+I402</f>
        <v>106</v>
      </c>
      <c r="J401" s="52">
        <f>J404+J402</f>
        <v>600</v>
      </c>
      <c r="K401" s="52">
        <f>K404+K402</f>
        <v>-118.87100000000001</v>
      </c>
      <c r="L401" s="52">
        <f>L404+L402</f>
        <v>481.129</v>
      </c>
    </row>
    <row r="402" spans="1:12" ht="15" customHeight="1" hidden="1">
      <c r="A402" s="79" t="s">
        <v>415</v>
      </c>
      <c r="B402" s="64" t="s">
        <v>258</v>
      </c>
      <c r="C402" s="64" t="s">
        <v>9</v>
      </c>
      <c r="D402" s="64" t="s">
        <v>17</v>
      </c>
      <c r="E402" s="64" t="s">
        <v>414</v>
      </c>
      <c r="F402" s="64"/>
      <c r="G402" s="22"/>
      <c r="H402" s="52">
        <f>H403</f>
        <v>0</v>
      </c>
      <c r="I402" s="52">
        <f>I403</f>
        <v>0</v>
      </c>
      <c r="J402" s="52">
        <f>J403</f>
        <v>0</v>
      </c>
      <c r="K402" s="52">
        <f>K403</f>
        <v>0</v>
      </c>
      <c r="L402" s="52">
        <f>L403</f>
        <v>0</v>
      </c>
    </row>
    <row r="403" spans="1:12" ht="15" customHeight="1" hidden="1">
      <c r="A403" s="79" t="s">
        <v>160</v>
      </c>
      <c r="B403" s="64" t="s">
        <v>258</v>
      </c>
      <c r="C403" s="64" t="s">
        <v>9</v>
      </c>
      <c r="D403" s="64" t="s">
        <v>17</v>
      </c>
      <c r="E403" s="64" t="s">
        <v>414</v>
      </c>
      <c r="F403" s="64" t="s">
        <v>161</v>
      </c>
      <c r="G403" s="22"/>
      <c r="H403" s="52"/>
      <c r="I403" s="49"/>
      <c r="J403" s="49">
        <f>H403+I403</f>
        <v>0</v>
      </c>
      <c r="K403" s="49"/>
      <c r="L403" s="49">
        <f>J403+K403</f>
        <v>0</v>
      </c>
    </row>
    <row r="404" spans="1:12" ht="23.25">
      <c r="A404" s="90" t="s">
        <v>303</v>
      </c>
      <c r="B404" s="64" t="s">
        <v>258</v>
      </c>
      <c r="C404" s="64" t="s">
        <v>9</v>
      </c>
      <c r="D404" s="64" t="s">
        <v>17</v>
      </c>
      <c r="E404" s="64" t="s">
        <v>304</v>
      </c>
      <c r="F404" s="64"/>
      <c r="G404" s="22">
        <f>G405</f>
        <v>550</v>
      </c>
      <c r="H404" s="49">
        <f>H405+H406</f>
        <v>494</v>
      </c>
      <c r="I404" s="49">
        <f>I405+I406</f>
        <v>106</v>
      </c>
      <c r="J404" s="49">
        <f>J405+J406</f>
        <v>600</v>
      </c>
      <c r="K404" s="49">
        <f>K405+K406</f>
        <v>-118.87100000000001</v>
      </c>
      <c r="L404" s="49">
        <f>L405+L406</f>
        <v>481.129</v>
      </c>
    </row>
    <row r="405" spans="1:12" ht="31.5" customHeight="1" hidden="1">
      <c r="A405" s="79" t="s">
        <v>156</v>
      </c>
      <c r="B405" s="64" t="s">
        <v>258</v>
      </c>
      <c r="C405" s="64" t="s">
        <v>9</v>
      </c>
      <c r="D405" s="64" t="s">
        <v>17</v>
      </c>
      <c r="E405" s="64" t="s">
        <v>304</v>
      </c>
      <c r="F405" s="64" t="s">
        <v>157</v>
      </c>
      <c r="G405" s="22">
        <v>550</v>
      </c>
      <c r="H405" s="52"/>
      <c r="I405" s="49"/>
      <c r="J405" s="49">
        <f>H405+I405</f>
        <v>0</v>
      </c>
      <c r="K405" s="49"/>
      <c r="L405" s="49">
        <f>J405+K405</f>
        <v>0</v>
      </c>
    </row>
    <row r="406" spans="1:12" ht="25.5" customHeight="1">
      <c r="A406" s="79" t="s">
        <v>499</v>
      </c>
      <c r="B406" s="64" t="s">
        <v>258</v>
      </c>
      <c r="C406" s="64" t="s">
        <v>9</v>
      </c>
      <c r="D406" s="64" t="s">
        <v>17</v>
      </c>
      <c r="E406" s="64" t="s">
        <v>304</v>
      </c>
      <c r="F406" s="64" t="s">
        <v>147</v>
      </c>
      <c r="G406" s="22"/>
      <c r="H406" s="52">
        <v>494</v>
      </c>
      <c r="I406" s="49">
        <v>106</v>
      </c>
      <c r="J406" s="49">
        <f>H406+I406</f>
        <v>600</v>
      </c>
      <c r="K406" s="49">
        <f>-49.871-69</f>
        <v>-118.87100000000001</v>
      </c>
      <c r="L406" s="49">
        <f>J406+K406</f>
        <v>481.129</v>
      </c>
    </row>
    <row r="407" spans="1:12" ht="25.5" customHeight="1">
      <c r="A407" s="79" t="s">
        <v>489</v>
      </c>
      <c r="B407" s="64" t="s">
        <v>258</v>
      </c>
      <c r="C407" s="64" t="s">
        <v>9</v>
      </c>
      <c r="D407" s="64" t="s">
        <v>17</v>
      </c>
      <c r="E407" s="64" t="s">
        <v>488</v>
      </c>
      <c r="F407" s="64"/>
      <c r="G407" s="22"/>
      <c r="H407" s="52"/>
      <c r="I407" s="49"/>
      <c r="J407" s="49">
        <f>J408</f>
        <v>0</v>
      </c>
      <c r="K407" s="49">
        <f>K408</f>
        <v>1713.38307</v>
      </c>
      <c r="L407" s="49">
        <f>L408</f>
        <v>1713.38307</v>
      </c>
    </row>
    <row r="408" spans="1:12" ht="25.5" customHeight="1">
      <c r="A408" s="79" t="s">
        <v>499</v>
      </c>
      <c r="B408" s="64" t="s">
        <v>258</v>
      </c>
      <c r="C408" s="64" t="s">
        <v>9</v>
      </c>
      <c r="D408" s="64" t="s">
        <v>17</v>
      </c>
      <c r="E408" s="64" t="s">
        <v>488</v>
      </c>
      <c r="F408" s="64" t="s">
        <v>147</v>
      </c>
      <c r="G408" s="22"/>
      <c r="H408" s="52"/>
      <c r="I408" s="49"/>
      <c r="J408" s="49"/>
      <c r="K408" s="49">
        <f>1522.71745+190.66562</f>
        <v>1713.38307</v>
      </c>
      <c r="L408" s="49">
        <f>J408+K408</f>
        <v>1713.38307</v>
      </c>
    </row>
    <row r="409" spans="1:12" ht="15">
      <c r="A409" s="90" t="s">
        <v>317</v>
      </c>
      <c r="B409" s="64" t="s">
        <v>258</v>
      </c>
      <c r="C409" s="64" t="s">
        <v>9</v>
      </c>
      <c r="D409" s="64" t="s">
        <v>17</v>
      </c>
      <c r="E409" s="64" t="s">
        <v>318</v>
      </c>
      <c r="F409" s="64"/>
      <c r="G409" s="22"/>
      <c r="H409" s="52"/>
      <c r="I409" s="49"/>
      <c r="J409" s="49">
        <f aca="true" t="shared" si="35" ref="J409:L410">J410</f>
        <v>0</v>
      </c>
      <c r="K409" s="49">
        <f t="shared" si="35"/>
        <v>880.14988</v>
      </c>
      <c r="L409" s="49">
        <f t="shared" si="35"/>
        <v>880.14988</v>
      </c>
    </row>
    <row r="410" spans="1:12" ht="34.5">
      <c r="A410" s="77" t="s">
        <v>417</v>
      </c>
      <c r="B410" s="64" t="s">
        <v>258</v>
      </c>
      <c r="C410" s="64" t="s">
        <v>9</v>
      </c>
      <c r="D410" s="64" t="s">
        <v>17</v>
      </c>
      <c r="E410" s="64" t="s">
        <v>416</v>
      </c>
      <c r="F410" s="64"/>
      <c r="G410" s="22"/>
      <c r="H410" s="52"/>
      <c r="I410" s="49"/>
      <c r="J410" s="49">
        <f t="shared" si="35"/>
        <v>0</v>
      </c>
      <c r="K410" s="49">
        <f t="shared" si="35"/>
        <v>880.14988</v>
      </c>
      <c r="L410" s="49">
        <f t="shared" si="35"/>
        <v>880.14988</v>
      </c>
    </row>
    <row r="411" spans="1:12" ht="23.25" customHeight="1">
      <c r="A411" s="79" t="s">
        <v>499</v>
      </c>
      <c r="B411" s="64" t="s">
        <v>258</v>
      </c>
      <c r="C411" s="64" t="s">
        <v>9</v>
      </c>
      <c r="D411" s="64" t="s">
        <v>17</v>
      </c>
      <c r="E411" s="64" t="s">
        <v>416</v>
      </c>
      <c r="F411" s="64" t="s">
        <v>147</v>
      </c>
      <c r="G411" s="22"/>
      <c r="H411" s="52"/>
      <c r="I411" s="49"/>
      <c r="J411" s="49">
        <v>0</v>
      </c>
      <c r="K411" s="49">
        <f>544.58005+335.56983</f>
        <v>880.14988</v>
      </c>
      <c r="L411" s="49">
        <f>J411+K411</f>
        <v>880.14988</v>
      </c>
    </row>
    <row r="412" spans="1:12" ht="15" customHeight="1">
      <c r="A412" s="79" t="s">
        <v>312</v>
      </c>
      <c r="B412" s="64" t="s">
        <v>258</v>
      </c>
      <c r="C412" s="64" t="s">
        <v>9</v>
      </c>
      <c r="D412" s="64" t="s">
        <v>17</v>
      </c>
      <c r="E412" s="64" t="s">
        <v>252</v>
      </c>
      <c r="F412" s="64"/>
      <c r="G412" s="22"/>
      <c r="H412" s="52">
        <f>H413+H415</f>
        <v>0</v>
      </c>
      <c r="I412" s="52">
        <f>I413+I415</f>
        <v>0</v>
      </c>
      <c r="J412" s="52">
        <f>J413+J415</f>
        <v>0</v>
      </c>
      <c r="K412" s="52">
        <f>K413+K415</f>
        <v>2.502</v>
      </c>
      <c r="L412" s="52">
        <f>L413+L415</f>
        <v>2.502</v>
      </c>
    </row>
    <row r="413" spans="1:12" ht="32.25" customHeight="1">
      <c r="A413" s="97" t="s">
        <v>474</v>
      </c>
      <c r="B413" s="64" t="s">
        <v>258</v>
      </c>
      <c r="C413" s="64" t="s">
        <v>9</v>
      </c>
      <c r="D413" s="64" t="s">
        <v>17</v>
      </c>
      <c r="E413" s="64" t="s">
        <v>221</v>
      </c>
      <c r="F413" s="64"/>
      <c r="G413" s="22"/>
      <c r="H413" s="52">
        <f>H414</f>
        <v>0</v>
      </c>
      <c r="I413" s="52">
        <f>I414</f>
        <v>0</v>
      </c>
      <c r="J413" s="52">
        <f>J414</f>
        <v>0</v>
      </c>
      <c r="K413" s="52">
        <f>K414</f>
        <v>2.502</v>
      </c>
      <c r="L413" s="52">
        <f>L414</f>
        <v>2.502</v>
      </c>
    </row>
    <row r="414" spans="1:12" ht="24.75" customHeight="1">
      <c r="A414" s="79" t="s">
        <v>145</v>
      </c>
      <c r="B414" s="64" t="s">
        <v>258</v>
      </c>
      <c r="C414" s="64" t="s">
        <v>9</v>
      </c>
      <c r="D414" s="64" t="s">
        <v>17</v>
      </c>
      <c r="E414" s="64" t="s">
        <v>221</v>
      </c>
      <c r="F414" s="64" t="s">
        <v>147</v>
      </c>
      <c r="G414" s="22"/>
      <c r="H414" s="52"/>
      <c r="I414" s="49"/>
      <c r="J414" s="49">
        <f>H414+I414</f>
        <v>0</v>
      </c>
      <c r="K414" s="49">
        <v>2.502</v>
      </c>
      <c r="L414" s="49">
        <f>J414+K414</f>
        <v>2.502</v>
      </c>
    </row>
    <row r="415" spans="1:12" ht="21.75" customHeight="1" hidden="1">
      <c r="A415" s="130" t="s">
        <v>395</v>
      </c>
      <c r="B415" s="64" t="s">
        <v>258</v>
      </c>
      <c r="C415" s="64" t="s">
        <v>9</v>
      </c>
      <c r="D415" s="64" t="s">
        <v>17</v>
      </c>
      <c r="E415" s="64" t="s">
        <v>396</v>
      </c>
      <c r="F415" s="64"/>
      <c r="G415" s="22"/>
      <c r="H415" s="52">
        <f>H416</f>
        <v>0</v>
      </c>
      <c r="I415" s="52">
        <f>I416</f>
        <v>0</v>
      </c>
      <c r="J415" s="52">
        <f>J416</f>
        <v>0</v>
      </c>
      <c r="K415" s="52">
        <f>K416</f>
        <v>0</v>
      </c>
      <c r="L415" s="52">
        <f>L416</f>
        <v>0</v>
      </c>
    </row>
    <row r="416" spans="1:12" ht="29.25" customHeight="1" hidden="1">
      <c r="A416" s="79" t="s">
        <v>499</v>
      </c>
      <c r="B416" s="64" t="s">
        <v>258</v>
      </c>
      <c r="C416" s="64" t="s">
        <v>9</v>
      </c>
      <c r="D416" s="64" t="s">
        <v>17</v>
      </c>
      <c r="E416" s="64" t="s">
        <v>396</v>
      </c>
      <c r="F416" s="64" t="s">
        <v>147</v>
      </c>
      <c r="G416" s="22"/>
      <c r="H416" s="52"/>
      <c r="I416" s="49"/>
      <c r="J416" s="49">
        <v>0</v>
      </c>
      <c r="K416" s="49"/>
      <c r="L416" s="49">
        <f>J416+K416</f>
        <v>0</v>
      </c>
    </row>
    <row r="417" spans="1:12" s="31" customFormat="1" ht="14.25">
      <c r="A417" s="89" t="s">
        <v>222</v>
      </c>
      <c r="B417" s="63" t="s">
        <v>258</v>
      </c>
      <c r="C417" s="63" t="s">
        <v>11</v>
      </c>
      <c r="D417" s="63"/>
      <c r="E417" s="63"/>
      <c r="F417" s="63"/>
      <c r="G417" s="17" t="e">
        <f>G418+G430+G451+#REF!</f>
        <v>#REF!</v>
      </c>
      <c r="H417" s="47" t="e">
        <f>H418+H430+H451</f>
        <v>#REF!</v>
      </c>
      <c r="I417" s="47" t="e">
        <f>I418+I430+I451</f>
        <v>#REF!</v>
      </c>
      <c r="J417" s="47">
        <f>J418+J430+J451</f>
        <v>5383.0064</v>
      </c>
      <c r="K417" s="47">
        <f>K418+K430+K451</f>
        <v>1267.151</v>
      </c>
      <c r="L417" s="47">
        <f>L418+L430+L451</f>
        <v>6650.1574</v>
      </c>
    </row>
    <row r="418" spans="1:12" s="27" customFormat="1" ht="15" customHeight="1" hidden="1">
      <c r="A418" s="89" t="s">
        <v>38</v>
      </c>
      <c r="B418" s="63" t="s">
        <v>258</v>
      </c>
      <c r="C418" s="63" t="s">
        <v>11</v>
      </c>
      <c r="D418" s="63" t="s">
        <v>6</v>
      </c>
      <c r="E418" s="63"/>
      <c r="F418" s="63"/>
      <c r="G418" s="17">
        <f>G426</f>
        <v>-40</v>
      </c>
      <c r="H418" s="51">
        <f>H425+H422+H419</f>
        <v>0</v>
      </c>
      <c r="I418" s="51">
        <f>I425+I422+I419</f>
        <v>0</v>
      </c>
      <c r="J418" s="51">
        <f>J425+J422+J419</f>
        <v>0</v>
      </c>
      <c r="K418" s="51">
        <f>K425+K422+K419</f>
        <v>0</v>
      </c>
      <c r="L418" s="51">
        <f>L425+L422+L419</f>
        <v>0</v>
      </c>
    </row>
    <row r="419" spans="1:12" s="27" customFormat="1" ht="51" customHeight="1" hidden="1">
      <c r="A419" s="90" t="s">
        <v>389</v>
      </c>
      <c r="B419" s="64" t="s">
        <v>258</v>
      </c>
      <c r="C419" s="64" t="s">
        <v>11</v>
      </c>
      <c r="D419" s="64" t="s">
        <v>6</v>
      </c>
      <c r="E419" s="64" t="s">
        <v>399</v>
      </c>
      <c r="F419" s="64"/>
      <c r="G419" s="17"/>
      <c r="H419" s="51">
        <f>H420+H421</f>
        <v>0</v>
      </c>
      <c r="I419" s="51">
        <f>I420+I421</f>
        <v>0</v>
      </c>
      <c r="J419" s="51">
        <f>J420+J421</f>
        <v>0</v>
      </c>
      <c r="K419" s="51">
        <f>K420+K421</f>
        <v>0</v>
      </c>
      <c r="L419" s="51">
        <f>L420+L421</f>
        <v>0</v>
      </c>
    </row>
    <row r="420" spans="1:12" s="27" customFormat="1" ht="27" customHeight="1" hidden="1">
      <c r="A420" s="79" t="s">
        <v>145</v>
      </c>
      <c r="B420" s="64" t="s">
        <v>258</v>
      </c>
      <c r="C420" s="64" t="s">
        <v>11</v>
      </c>
      <c r="D420" s="64" t="s">
        <v>6</v>
      </c>
      <c r="E420" s="64" t="s">
        <v>399</v>
      </c>
      <c r="F420" s="64" t="s">
        <v>147</v>
      </c>
      <c r="G420" s="17"/>
      <c r="H420" s="52"/>
      <c r="I420" s="52"/>
      <c r="J420" s="52">
        <f>H420+I420</f>
        <v>0</v>
      </c>
      <c r="K420" s="52"/>
      <c r="L420" s="52">
        <f>J420+K420</f>
        <v>0</v>
      </c>
    </row>
    <row r="421" spans="1:12" s="27" customFormat="1" ht="26.25" customHeight="1" hidden="1">
      <c r="A421" s="79" t="s">
        <v>398</v>
      </c>
      <c r="B421" s="64" t="s">
        <v>258</v>
      </c>
      <c r="C421" s="64" t="s">
        <v>11</v>
      </c>
      <c r="D421" s="64" t="s">
        <v>6</v>
      </c>
      <c r="E421" s="64" t="s">
        <v>399</v>
      </c>
      <c r="F421" s="64" t="s">
        <v>397</v>
      </c>
      <c r="G421" s="22"/>
      <c r="H421" s="52"/>
      <c r="I421" s="52"/>
      <c r="J421" s="52">
        <f>H421+I421</f>
        <v>0</v>
      </c>
      <c r="K421" s="52"/>
      <c r="L421" s="52">
        <f>J421+K421</f>
        <v>0</v>
      </c>
    </row>
    <row r="422" spans="1:12" s="27" customFormat="1" ht="42.75" customHeight="1" hidden="1">
      <c r="A422" s="90" t="s">
        <v>390</v>
      </c>
      <c r="B422" s="64" t="s">
        <v>258</v>
      </c>
      <c r="C422" s="64" t="s">
        <v>11</v>
      </c>
      <c r="D422" s="64" t="s">
        <v>6</v>
      </c>
      <c r="E422" s="64" t="s">
        <v>366</v>
      </c>
      <c r="F422" s="64"/>
      <c r="G422" s="22"/>
      <c r="H422" s="52">
        <f>H423+H424</f>
        <v>0</v>
      </c>
      <c r="I422" s="52">
        <f>I423+I424</f>
        <v>0</v>
      </c>
      <c r="J422" s="52">
        <f>J423+J424</f>
        <v>0</v>
      </c>
      <c r="K422" s="52">
        <f>K423+K424</f>
        <v>0</v>
      </c>
      <c r="L422" s="52">
        <f>L423+L424</f>
        <v>0</v>
      </c>
    </row>
    <row r="423" spans="1:12" s="27" customFormat="1" ht="26.25" customHeight="1" hidden="1">
      <c r="A423" s="79" t="s">
        <v>145</v>
      </c>
      <c r="B423" s="64" t="s">
        <v>258</v>
      </c>
      <c r="C423" s="64" t="s">
        <v>11</v>
      </c>
      <c r="D423" s="64" t="s">
        <v>6</v>
      </c>
      <c r="E423" s="64" t="s">
        <v>366</v>
      </c>
      <c r="F423" s="64" t="s">
        <v>147</v>
      </c>
      <c r="G423" s="22"/>
      <c r="H423" s="52"/>
      <c r="I423" s="52"/>
      <c r="J423" s="52">
        <f>H423+I423</f>
        <v>0</v>
      </c>
      <c r="K423" s="52"/>
      <c r="L423" s="52">
        <f>J423+K423</f>
        <v>0</v>
      </c>
    </row>
    <row r="424" spans="1:12" s="27" customFormat="1" ht="26.25" customHeight="1" hidden="1">
      <c r="A424" s="79" t="s">
        <v>398</v>
      </c>
      <c r="B424" s="64" t="s">
        <v>258</v>
      </c>
      <c r="C424" s="64" t="s">
        <v>11</v>
      </c>
      <c r="D424" s="64" t="s">
        <v>6</v>
      </c>
      <c r="E424" s="64" t="s">
        <v>366</v>
      </c>
      <c r="F424" s="64" t="s">
        <v>397</v>
      </c>
      <c r="G424" s="22"/>
      <c r="H424" s="52"/>
      <c r="I424" s="52"/>
      <c r="J424" s="52">
        <f>H424+I424</f>
        <v>0</v>
      </c>
      <c r="K424" s="52"/>
      <c r="L424" s="52">
        <f>J424+K424</f>
        <v>0</v>
      </c>
    </row>
    <row r="425" spans="1:12" ht="15" customHeight="1" hidden="1">
      <c r="A425" s="90" t="s">
        <v>312</v>
      </c>
      <c r="B425" s="64" t="s">
        <v>258</v>
      </c>
      <c r="C425" s="64" t="s">
        <v>11</v>
      </c>
      <c r="D425" s="64" t="s">
        <v>6</v>
      </c>
      <c r="E425" s="64" t="s">
        <v>252</v>
      </c>
      <c r="F425" s="64"/>
      <c r="G425" s="22"/>
      <c r="H425" s="52">
        <f>H426+H428</f>
        <v>0</v>
      </c>
      <c r="I425" s="52">
        <f>I426+I428</f>
        <v>0</v>
      </c>
      <c r="J425" s="52">
        <f>J426+J428</f>
        <v>0</v>
      </c>
      <c r="K425" s="52">
        <f>K426+K428</f>
        <v>0</v>
      </c>
      <c r="L425" s="52">
        <f>L426+L428</f>
        <v>0</v>
      </c>
    </row>
    <row r="426" spans="1:12" ht="30" customHeight="1" hidden="1">
      <c r="A426" s="80" t="s">
        <v>305</v>
      </c>
      <c r="B426" s="64" t="s">
        <v>258</v>
      </c>
      <c r="C426" s="64" t="s">
        <v>11</v>
      </c>
      <c r="D426" s="64" t="s">
        <v>6</v>
      </c>
      <c r="E426" s="64" t="s">
        <v>306</v>
      </c>
      <c r="F426" s="64"/>
      <c r="G426" s="22">
        <f aca="true" t="shared" si="36" ref="G426:L426">G427</f>
        <v>-40</v>
      </c>
      <c r="H426" s="52">
        <f t="shared" si="36"/>
        <v>0</v>
      </c>
      <c r="I426" s="49">
        <f t="shared" si="36"/>
        <v>0</v>
      </c>
      <c r="J426" s="49">
        <f t="shared" si="36"/>
        <v>0</v>
      </c>
      <c r="K426" s="49">
        <f t="shared" si="36"/>
        <v>0</v>
      </c>
      <c r="L426" s="49">
        <f t="shared" si="36"/>
        <v>0</v>
      </c>
    </row>
    <row r="427" spans="1:12" ht="30" customHeight="1" hidden="1">
      <c r="A427" s="79" t="s">
        <v>145</v>
      </c>
      <c r="B427" s="64" t="s">
        <v>258</v>
      </c>
      <c r="C427" s="64" t="s">
        <v>11</v>
      </c>
      <c r="D427" s="64" t="s">
        <v>6</v>
      </c>
      <c r="E427" s="64" t="s">
        <v>306</v>
      </c>
      <c r="F427" s="64" t="s">
        <v>147</v>
      </c>
      <c r="G427" s="22">
        <v>-40</v>
      </c>
      <c r="H427" s="52"/>
      <c r="I427" s="49"/>
      <c r="J427" s="49">
        <f>H427+I427</f>
        <v>0</v>
      </c>
      <c r="K427" s="49"/>
      <c r="L427" s="49">
        <f>J427+K427</f>
        <v>0</v>
      </c>
    </row>
    <row r="428" spans="1:12" ht="38.25" customHeight="1" hidden="1">
      <c r="A428" s="77" t="s">
        <v>385</v>
      </c>
      <c r="B428" s="64" t="s">
        <v>258</v>
      </c>
      <c r="C428" s="64" t="s">
        <v>11</v>
      </c>
      <c r="D428" s="64" t="s">
        <v>6</v>
      </c>
      <c r="E428" s="64" t="s">
        <v>384</v>
      </c>
      <c r="F428" s="64"/>
      <c r="G428" s="22"/>
      <c r="H428" s="52">
        <f>H429</f>
        <v>0</v>
      </c>
      <c r="I428" s="52">
        <f>I429</f>
        <v>0</v>
      </c>
      <c r="J428" s="52">
        <f>J429</f>
        <v>0</v>
      </c>
      <c r="K428" s="52">
        <f>K429</f>
        <v>0</v>
      </c>
      <c r="L428" s="52">
        <f>L429</f>
        <v>0</v>
      </c>
    </row>
    <row r="429" spans="1:12" ht="0.75" customHeight="1">
      <c r="A429" s="79" t="s">
        <v>145</v>
      </c>
      <c r="B429" s="64" t="s">
        <v>258</v>
      </c>
      <c r="C429" s="64" t="s">
        <v>11</v>
      </c>
      <c r="D429" s="64" t="s">
        <v>6</v>
      </c>
      <c r="E429" s="64" t="s">
        <v>384</v>
      </c>
      <c r="F429" s="64" t="s">
        <v>147</v>
      </c>
      <c r="G429" s="22"/>
      <c r="H429" s="52"/>
      <c r="I429" s="49"/>
      <c r="J429" s="49">
        <f>H429+I429</f>
        <v>0</v>
      </c>
      <c r="K429" s="49"/>
      <c r="L429" s="49">
        <f>J429+K429</f>
        <v>0</v>
      </c>
    </row>
    <row r="430" spans="1:12" s="27" customFormat="1" ht="14.25">
      <c r="A430" s="90" t="s">
        <v>39</v>
      </c>
      <c r="B430" s="63" t="s">
        <v>258</v>
      </c>
      <c r="C430" s="63" t="s">
        <v>11</v>
      </c>
      <c r="D430" s="63" t="s">
        <v>7</v>
      </c>
      <c r="E430" s="63"/>
      <c r="F430" s="63"/>
      <c r="G430" s="17" t="e">
        <f>#REF!+G443+#REF!+#REF!</f>
        <v>#REF!</v>
      </c>
      <c r="H430" s="51" t="e">
        <f>H435+#REF!+H443+H438+H433+H431+H440</f>
        <v>#REF!</v>
      </c>
      <c r="I430" s="51" t="e">
        <f>I435+#REF!+I443+I438+I433+I431+I440</f>
        <v>#REF!</v>
      </c>
      <c r="J430" s="51">
        <f>J435+J443+J433+J431+J437</f>
        <v>5032.9464</v>
      </c>
      <c r="K430" s="51">
        <f>K435+K443+K433+K431+K437</f>
        <v>1116.451</v>
      </c>
      <c r="L430" s="51">
        <f>L435+L443+L433+L431+L437</f>
        <v>6149.3974</v>
      </c>
    </row>
    <row r="431" spans="1:12" s="27" customFormat="1" ht="28.5" customHeight="1">
      <c r="A431" s="79" t="s">
        <v>367</v>
      </c>
      <c r="B431" s="64" t="s">
        <v>258</v>
      </c>
      <c r="C431" s="64" t="s">
        <v>11</v>
      </c>
      <c r="D431" s="64" t="s">
        <v>7</v>
      </c>
      <c r="E431" s="64" t="s">
        <v>531</v>
      </c>
      <c r="F431" s="64"/>
      <c r="G431" s="22"/>
      <c r="H431" s="52">
        <f>H432</f>
        <v>0</v>
      </c>
      <c r="I431" s="52">
        <f>I432</f>
        <v>0</v>
      </c>
      <c r="J431" s="52">
        <f>J432</f>
        <v>0</v>
      </c>
      <c r="K431" s="52">
        <f>K432</f>
        <v>790.9</v>
      </c>
      <c r="L431" s="52">
        <f>L432</f>
        <v>790.9</v>
      </c>
    </row>
    <row r="432" spans="1:12" s="27" customFormat="1" ht="31.5" customHeight="1">
      <c r="A432" s="90" t="s">
        <v>310</v>
      </c>
      <c r="B432" s="64" t="s">
        <v>258</v>
      </c>
      <c r="C432" s="64" t="s">
        <v>11</v>
      </c>
      <c r="D432" s="64" t="s">
        <v>7</v>
      </c>
      <c r="E432" s="64" t="s">
        <v>531</v>
      </c>
      <c r="F432" s="64" t="s">
        <v>468</v>
      </c>
      <c r="G432" s="22"/>
      <c r="H432" s="52"/>
      <c r="I432" s="52"/>
      <c r="J432" s="52">
        <f>H432+I432</f>
        <v>0</v>
      </c>
      <c r="K432" s="52">
        <v>790.9</v>
      </c>
      <c r="L432" s="52">
        <f>J432+K432</f>
        <v>790.9</v>
      </c>
    </row>
    <row r="433" spans="1:12" s="27" customFormat="1" ht="39" customHeight="1" hidden="1">
      <c r="A433" s="90" t="s">
        <v>293</v>
      </c>
      <c r="B433" s="64" t="s">
        <v>258</v>
      </c>
      <c r="C433" s="64" t="s">
        <v>11</v>
      </c>
      <c r="D433" s="64" t="s">
        <v>7</v>
      </c>
      <c r="E433" s="64" t="s">
        <v>409</v>
      </c>
      <c r="F433" s="64"/>
      <c r="G433" s="22"/>
      <c r="H433" s="52">
        <f>H434</f>
        <v>0</v>
      </c>
      <c r="I433" s="52">
        <f>I434</f>
        <v>0</v>
      </c>
      <c r="J433" s="52">
        <f>J434</f>
        <v>0</v>
      </c>
      <c r="K433" s="52">
        <f>K434</f>
        <v>0</v>
      </c>
      <c r="L433" s="52">
        <f>L434</f>
        <v>0</v>
      </c>
    </row>
    <row r="434" spans="1:12" ht="32.25" customHeight="1" hidden="1">
      <c r="A434" s="90" t="s">
        <v>310</v>
      </c>
      <c r="B434" s="64" t="s">
        <v>258</v>
      </c>
      <c r="C434" s="64" t="s">
        <v>11</v>
      </c>
      <c r="D434" s="64" t="s">
        <v>7</v>
      </c>
      <c r="E434" s="64" t="s">
        <v>424</v>
      </c>
      <c r="F434" s="64" t="s">
        <v>311</v>
      </c>
      <c r="G434" s="22"/>
      <c r="H434" s="52"/>
      <c r="I434" s="49"/>
      <c r="J434" s="49">
        <f>H434+I434</f>
        <v>0</v>
      </c>
      <c r="K434" s="49"/>
      <c r="L434" s="49">
        <f>J434+K434</f>
        <v>0</v>
      </c>
    </row>
    <row r="435" spans="1:12" s="27" customFormat="1" ht="38.25" customHeight="1">
      <c r="A435" s="90" t="s">
        <v>293</v>
      </c>
      <c r="B435" s="64" t="s">
        <v>258</v>
      </c>
      <c r="C435" s="64" t="s">
        <v>11</v>
      </c>
      <c r="D435" s="64" t="s">
        <v>7</v>
      </c>
      <c r="E435" s="64" t="s">
        <v>294</v>
      </c>
      <c r="F435" s="64"/>
      <c r="G435" s="22"/>
      <c r="H435" s="52" t="e">
        <f>#REF!+H436</f>
        <v>#REF!</v>
      </c>
      <c r="I435" s="52" t="e">
        <f>#REF!+I436</f>
        <v>#REF!</v>
      </c>
      <c r="J435" s="52">
        <f>J436</f>
        <v>1906.2744</v>
      </c>
      <c r="K435" s="52">
        <f>K436</f>
        <v>-516.449</v>
      </c>
      <c r="L435" s="52">
        <f>L436</f>
        <v>1389.8254000000002</v>
      </c>
    </row>
    <row r="436" spans="1:12" s="27" customFormat="1" ht="24.75" customHeight="1">
      <c r="A436" s="79" t="s">
        <v>469</v>
      </c>
      <c r="B436" s="64" t="s">
        <v>258</v>
      </c>
      <c r="C436" s="64" t="s">
        <v>11</v>
      </c>
      <c r="D436" s="64" t="s">
        <v>7</v>
      </c>
      <c r="E436" s="64" t="s">
        <v>294</v>
      </c>
      <c r="F436" s="64" t="s">
        <v>468</v>
      </c>
      <c r="G436" s="22"/>
      <c r="H436" s="52"/>
      <c r="I436" s="52">
        <f>1000+707.606</f>
        <v>1707.606</v>
      </c>
      <c r="J436" s="49">
        <v>1906.2744</v>
      </c>
      <c r="K436" s="52">
        <f>-524.391+7.942</f>
        <v>-516.449</v>
      </c>
      <c r="L436" s="49">
        <f>J436+K436</f>
        <v>1389.8254000000002</v>
      </c>
    </row>
    <row r="437" spans="1:12" s="27" customFormat="1" ht="24.75" customHeight="1">
      <c r="A437" s="119" t="s">
        <v>317</v>
      </c>
      <c r="B437" s="64" t="s">
        <v>258</v>
      </c>
      <c r="C437" s="64" t="s">
        <v>11</v>
      </c>
      <c r="D437" s="64" t="s">
        <v>7</v>
      </c>
      <c r="E437" s="64" t="s">
        <v>318</v>
      </c>
      <c r="F437" s="64"/>
      <c r="G437" s="22"/>
      <c r="H437" s="52"/>
      <c r="I437" s="52"/>
      <c r="J437" s="49">
        <f>J438+J440</f>
        <v>1410</v>
      </c>
      <c r="K437" s="49">
        <f>K438+K440</f>
        <v>700</v>
      </c>
      <c r="L437" s="49">
        <f>L438+L440</f>
        <v>2110</v>
      </c>
    </row>
    <row r="438" spans="1:12" ht="28.5" customHeight="1">
      <c r="A438" s="79" t="s">
        <v>367</v>
      </c>
      <c r="B438" s="64" t="s">
        <v>258</v>
      </c>
      <c r="C438" s="64" t="s">
        <v>11</v>
      </c>
      <c r="D438" s="64" t="s">
        <v>7</v>
      </c>
      <c r="E438" s="64" t="s">
        <v>320</v>
      </c>
      <c r="F438" s="64"/>
      <c r="G438" s="22"/>
      <c r="H438" s="52">
        <f>H439</f>
        <v>0</v>
      </c>
      <c r="I438" s="52">
        <f>I439</f>
        <v>0</v>
      </c>
      <c r="J438" s="52">
        <f>J439</f>
        <v>900</v>
      </c>
      <c r="K438" s="52">
        <f>K439</f>
        <v>700</v>
      </c>
      <c r="L438" s="52">
        <f>L439</f>
        <v>1600</v>
      </c>
    </row>
    <row r="439" spans="1:12" ht="32.25" customHeight="1">
      <c r="A439" s="79" t="s">
        <v>469</v>
      </c>
      <c r="B439" s="64" t="s">
        <v>258</v>
      </c>
      <c r="C439" s="64" t="s">
        <v>11</v>
      </c>
      <c r="D439" s="64" t="s">
        <v>7</v>
      </c>
      <c r="E439" s="64" t="s">
        <v>320</v>
      </c>
      <c r="F439" s="64" t="s">
        <v>468</v>
      </c>
      <c r="G439" s="22"/>
      <c r="H439" s="52"/>
      <c r="I439" s="49"/>
      <c r="J439" s="49">
        <v>900</v>
      </c>
      <c r="K439" s="49">
        <v>700</v>
      </c>
      <c r="L439" s="49">
        <f>J439+K439</f>
        <v>1600</v>
      </c>
    </row>
    <row r="440" spans="1:12" ht="48.75">
      <c r="A440" s="120" t="s">
        <v>520</v>
      </c>
      <c r="B440" s="64" t="s">
        <v>258</v>
      </c>
      <c r="C440" s="64" t="s">
        <v>11</v>
      </c>
      <c r="D440" s="64" t="s">
        <v>7</v>
      </c>
      <c r="E440" s="64" t="s">
        <v>434</v>
      </c>
      <c r="F440" s="64"/>
      <c r="G440" s="22"/>
      <c r="H440" s="52"/>
      <c r="I440" s="52"/>
      <c r="J440" s="52">
        <f>J441+J442</f>
        <v>510</v>
      </c>
      <c r="K440" s="52">
        <f>K441+K442</f>
        <v>0</v>
      </c>
      <c r="L440" s="52">
        <f>L441+L442</f>
        <v>510</v>
      </c>
    </row>
    <row r="441" spans="1:12" ht="24.75" customHeight="1">
      <c r="A441" s="118" t="s">
        <v>490</v>
      </c>
      <c r="B441" s="64" t="s">
        <v>258</v>
      </c>
      <c r="C441" s="64" t="s">
        <v>11</v>
      </c>
      <c r="D441" s="64" t="s">
        <v>7</v>
      </c>
      <c r="E441" s="64" t="s">
        <v>434</v>
      </c>
      <c r="F441" s="64" t="s">
        <v>410</v>
      </c>
      <c r="G441" s="22"/>
      <c r="H441" s="52"/>
      <c r="I441" s="49"/>
      <c r="J441" s="49">
        <v>410</v>
      </c>
      <c r="K441" s="49"/>
      <c r="L441" s="49">
        <f>J441+K441</f>
        <v>410</v>
      </c>
    </row>
    <row r="442" spans="1:12" ht="33.75">
      <c r="A442" s="79" t="s">
        <v>499</v>
      </c>
      <c r="B442" s="64" t="s">
        <v>258</v>
      </c>
      <c r="C442" s="64" t="s">
        <v>11</v>
      </c>
      <c r="D442" s="64" t="s">
        <v>7</v>
      </c>
      <c r="E442" s="64" t="s">
        <v>434</v>
      </c>
      <c r="F442" s="64" t="s">
        <v>147</v>
      </c>
      <c r="G442" s="22"/>
      <c r="H442" s="52"/>
      <c r="I442" s="49"/>
      <c r="J442" s="49">
        <v>100</v>
      </c>
      <c r="K442" s="49"/>
      <c r="L442" s="49">
        <f>J442+K442</f>
        <v>100</v>
      </c>
    </row>
    <row r="443" spans="1:12" ht="15" customHeight="1">
      <c r="A443" s="90" t="s">
        <v>312</v>
      </c>
      <c r="B443" s="64" t="s">
        <v>258</v>
      </c>
      <c r="C443" s="64" t="s">
        <v>11</v>
      </c>
      <c r="D443" s="64" t="s">
        <v>7</v>
      </c>
      <c r="E443" s="64" t="s">
        <v>252</v>
      </c>
      <c r="F443" s="64"/>
      <c r="G443" s="22" t="e">
        <f>G444+#REF!</f>
        <v>#REF!</v>
      </c>
      <c r="H443" s="52">
        <f>H444+H447</f>
        <v>50</v>
      </c>
      <c r="I443" s="52">
        <f>I444+I447</f>
        <v>475</v>
      </c>
      <c r="J443" s="52">
        <f>J444+J447</f>
        <v>1716.6719999999998</v>
      </c>
      <c r="K443" s="52">
        <f>K444+K447</f>
        <v>142</v>
      </c>
      <c r="L443" s="52">
        <f>L444+L447</f>
        <v>1858.6719999999998</v>
      </c>
    </row>
    <row r="444" spans="1:12" ht="27" customHeight="1">
      <c r="A444" s="83" t="s">
        <v>313</v>
      </c>
      <c r="B444" s="64" t="s">
        <v>258</v>
      </c>
      <c r="C444" s="64" t="s">
        <v>11</v>
      </c>
      <c r="D444" s="64" t="s">
        <v>7</v>
      </c>
      <c r="E444" s="64" t="s">
        <v>314</v>
      </c>
      <c r="F444" s="64"/>
      <c r="G444" s="22">
        <f>G445</f>
        <v>-1750</v>
      </c>
      <c r="H444" s="52">
        <f>H445+H446</f>
        <v>50</v>
      </c>
      <c r="I444" s="52">
        <f>I445+I446</f>
        <v>475</v>
      </c>
      <c r="J444" s="52">
        <f>J445+J446</f>
        <v>585</v>
      </c>
      <c r="K444" s="52">
        <f>K445+K446</f>
        <v>0</v>
      </c>
      <c r="L444" s="52">
        <f>L445+L446</f>
        <v>585</v>
      </c>
    </row>
    <row r="445" spans="1:12" ht="12.75" customHeight="1">
      <c r="A445" s="79" t="s">
        <v>499</v>
      </c>
      <c r="B445" s="64" t="s">
        <v>258</v>
      </c>
      <c r="C445" s="64" t="s">
        <v>11</v>
      </c>
      <c r="D445" s="64" t="s">
        <v>7</v>
      </c>
      <c r="E445" s="64" t="s">
        <v>314</v>
      </c>
      <c r="F445" s="64" t="s">
        <v>147</v>
      </c>
      <c r="G445" s="22">
        <v>-1750</v>
      </c>
      <c r="H445" s="52">
        <v>50</v>
      </c>
      <c r="I445" s="49">
        <v>475</v>
      </c>
      <c r="J445" s="49">
        <v>585</v>
      </c>
      <c r="K445" s="49"/>
      <c r="L445" s="49">
        <f>J445+K445</f>
        <v>585</v>
      </c>
    </row>
    <row r="446" spans="1:12" ht="12.75" customHeight="1" hidden="1">
      <c r="A446" s="82" t="s">
        <v>160</v>
      </c>
      <c r="B446" s="64" t="s">
        <v>258</v>
      </c>
      <c r="C446" s="64" t="s">
        <v>11</v>
      </c>
      <c r="D446" s="64" t="s">
        <v>7</v>
      </c>
      <c r="E446" s="64" t="s">
        <v>314</v>
      </c>
      <c r="F446" s="64" t="s">
        <v>161</v>
      </c>
      <c r="G446" s="22"/>
      <c r="H446" s="52"/>
      <c r="I446" s="49"/>
      <c r="J446" s="49">
        <f>H446+I446</f>
        <v>0</v>
      </c>
      <c r="K446" s="49"/>
      <c r="L446" s="49">
        <f>J446+K446</f>
        <v>0</v>
      </c>
    </row>
    <row r="447" spans="1:12" s="41" customFormat="1" ht="42" customHeight="1">
      <c r="A447" s="100" t="s">
        <v>388</v>
      </c>
      <c r="B447" s="64" t="s">
        <v>258</v>
      </c>
      <c r="C447" s="64" t="s">
        <v>11</v>
      </c>
      <c r="D447" s="64" t="s">
        <v>7</v>
      </c>
      <c r="E447" s="64" t="s">
        <v>387</v>
      </c>
      <c r="F447" s="64"/>
      <c r="G447" s="22"/>
      <c r="H447" s="52">
        <f>H449</f>
        <v>0</v>
      </c>
      <c r="I447" s="52">
        <f>I449</f>
        <v>0</v>
      </c>
      <c r="J447" s="52">
        <f>J449+J450+J448</f>
        <v>1131.6719999999998</v>
      </c>
      <c r="K447" s="52">
        <f>K449+K450+K448</f>
        <v>142</v>
      </c>
      <c r="L447" s="52">
        <f>L449+L450+L448</f>
        <v>1273.6719999999998</v>
      </c>
    </row>
    <row r="448" spans="1:12" s="41" customFormat="1" ht="24" customHeight="1">
      <c r="A448" s="79" t="s">
        <v>499</v>
      </c>
      <c r="B448" s="64" t="s">
        <v>258</v>
      </c>
      <c r="C448" s="64" t="s">
        <v>11</v>
      </c>
      <c r="D448" s="64" t="s">
        <v>7</v>
      </c>
      <c r="E448" s="64" t="s">
        <v>387</v>
      </c>
      <c r="F448" s="64" t="s">
        <v>410</v>
      </c>
      <c r="G448" s="22"/>
      <c r="H448" s="52"/>
      <c r="I448" s="49"/>
      <c r="J448" s="49">
        <v>45.562</v>
      </c>
      <c r="K448" s="49"/>
      <c r="L448" s="49">
        <f>J448+K448</f>
        <v>45.562</v>
      </c>
    </row>
    <row r="449" spans="1:12" s="41" customFormat="1" ht="22.5" customHeight="1">
      <c r="A449" s="79" t="s">
        <v>499</v>
      </c>
      <c r="B449" s="64" t="s">
        <v>258</v>
      </c>
      <c r="C449" s="64" t="s">
        <v>11</v>
      </c>
      <c r="D449" s="64" t="s">
        <v>7</v>
      </c>
      <c r="E449" s="64" t="s">
        <v>387</v>
      </c>
      <c r="F449" s="64" t="s">
        <v>147</v>
      </c>
      <c r="G449" s="22"/>
      <c r="H449" s="52"/>
      <c r="I449" s="49"/>
      <c r="J449" s="49">
        <v>111.11</v>
      </c>
      <c r="K449" s="49">
        <v>-58</v>
      </c>
      <c r="L449" s="49">
        <f>J449+K449</f>
        <v>53.11</v>
      </c>
    </row>
    <row r="450" spans="1:12" s="41" customFormat="1" ht="15">
      <c r="A450" s="79" t="s">
        <v>398</v>
      </c>
      <c r="B450" s="64" t="s">
        <v>258</v>
      </c>
      <c r="C450" s="64" t="s">
        <v>11</v>
      </c>
      <c r="D450" s="64" t="s">
        <v>7</v>
      </c>
      <c r="E450" s="64" t="s">
        <v>387</v>
      </c>
      <c r="F450" s="64" t="s">
        <v>397</v>
      </c>
      <c r="G450" s="22"/>
      <c r="H450" s="52"/>
      <c r="I450" s="49"/>
      <c r="J450" s="49">
        <v>975</v>
      </c>
      <c r="K450" s="49">
        <f>200</f>
        <v>200</v>
      </c>
      <c r="L450" s="49">
        <f>J450+K450</f>
        <v>1175</v>
      </c>
    </row>
    <row r="451" spans="1:12" s="27" customFormat="1" ht="14.25" customHeight="1">
      <c r="A451" s="89" t="s">
        <v>315</v>
      </c>
      <c r="B451" s="63" t="s">
        <v>258</v>
      </c>
      <c r="C451" s="63" t="s">
        <v>11</v>
      </c>
      <c r="D451" s="63" t="s">
        <v>8</v>
      </c>
      <c r="E451" s="63"/>
      <c r="F451" s="63"/>
      <c r="G451" s="17" t="e">
        <f>G452</f>
        <v>#REF!</v>
      </c>
      <c r="H451" s="51">
        <f>H452+H454</f>
        <v>0</v>
      </c>
      <c r="I451" s="51">
        <f>I452+I454</f>
        <v>600</v>
      </c>
      <c r="J451" s="51">
        <f>J452+J454</f>
        <v>350.06</v>
      </c>
      <c r="K451" s="51">
        <f>K452+K454</f>
        <v>150.7</v>
      </c>
      <c r="L451" s="51">
        <f>L452+L454</f>
        <v>500.76</v>
      </c>
    </row>
    <row r="452" spans="1:12" ht="22.5" customHeight="1">
      <c r="A452" s="90" t="s">
        <v>472</v>
      </c>
      <c r="B452" s="64" t="s">
        <v>258</v>
      </c>
      <c r="C452" s="64" t="s">
        <v>11</v>
      </c>
      <c r="D452" s="64" t="s">
        <v>8</v>
      </c>
      <c r="E452" s="64" t="s">
        <v>473</v>
      </c>
      <c r="F452" s="64"/>
      <c r="G452" s="22" t="e">
        <f>#REF!</f>
        <v>#REF!</v>
      </c>
      <c r="H452" s="52">
        <f>H453</f>
        <v>0</v>
      </c>
      <c r="I452" s="52">
        <f>I453</f>
        <v>600</v>
      </c>
      <c r="J452" s="52">
        <f>J453</f>
        <v>350.06</v>
      </c>
      <c r="K452" s="52">
        <f>K453</f>
        <v>150.7</v>
      </c>
      <c r="L452" s="52">
        <f>L453</f>
        <v>500.76</v>
      </c>
    </row>
    <row r="453" spans="1:12" ht="30" customHeight="1">
      <c r="A453" s="79" t="s">
        <v>499</v>
      </c>
      <c r="B453" s="64" t="s">
        <v>258</v>
      </c>
      <c r="C453" s="64" t="s">
        <v>11</v>
      </c>
      <c r="D453" s="64" t="s">
        <v>8</v>
      </c>
      <c r="E453" s="64" t="s">
        <v>473</v>
      </c>
      <c r="F453" s="64" t="s">
        <v>147</v>
      </c>
      <c r="G453" s="22">
        <v>-786.5</v>
      </c>
      <c r="H453" s="52"/>
      <c r="I453" s="49">
        <v>600</v>
      </c>
      <c r="J453" s="49">
        <v>350.06</v>
      </c>
      <c r="K453" s="49">
        <f>58-7.3+100</f>
        <v>150.7</v>
      </c>
      <c r="L453" s="49">
        <f>J453+K453</f>
        <v>500.76</v>
      </c>
    </row>
    <row r="454" spans="1:12" ht="30" customHeight="1" hidden="1">
      <c r="A454" s="90" t="s">
        <v>425</v>
      </c>
      <c r="B454" s="64" t="s">
        <v>258</v>
      </c>
      <c r="C454" s="64" t="s">
        <v>11</v>
      </c>
      <c r="D454" s="64" t="s">
        <v>8</v>
      </c>
      <c r="E454" s="64" t="s">
        <v>426</v>
      </c>
      <c r="F454" s="64"/>
      <c r="G454" s="22"/>
      <c r="H454" s="52">
        <f>H455</f>
        <v>0</v>
      </c>
      <c r="I454" s="52">
        <f>I455</f>
        <v>0</v>
      </c>
      <c r="J454" s="52">
        <f>J455</f>
        <v>0</v>
      </c>
      <c r="K454" s="52">
        <f>K455</f>
        <v>0</v>
      </c>
      <c r="L454" s="52">
        <f>L455</f>
        <v>0</v>
      </c>
    </row>
    <row r="455" spans="1:12" ht="30" customHeight="1" hidden="1">
      <c r="A455" s="79" t="s">
        <v>145</v>
      </c>
      <c r="B455" s="64" t="s">
        <v>258</v>
      </c>
      <c r="C455" s="64" t="s">
        <v>11</v>
      </c>
      <c r="D455" s="64" t="s">
        <v>8</v>
      </c>
      <c r="E455" s="64" t="s">
        <v>426</v>
      </c>
      <c r="F455" s="64" t="s">
        <v>147</v>
      </c>
      <c r="G455" s="22"/>
      <c r="H455" s="52"/>
      <c r="I455" s="49"/>
      <c r="J455" s="49">
        <f>H455+I455</f>
        <v>0</v>
      </c>
      <c r="K455" s="49"/>
      <c r="L455" s="49">
        <f>J455+K455</f>
        <v>0</v>
      </c>
    </row>
    <row r="456" spans="1:12" s="27" customFormat="1" ht="14.25" hidden="1">
      <c r="A456" s="93" t="s">
        <v>506</v>
      </c>
      <c r="B456" s="63" t="s">
        <v>258</v>
      </c>
      <c r="C456" s="63" t="s">
        <v>12</v>
      </c>
      <c r="D456" s="63"/>
      <c r="E456" s="63"/>
      <c r="F456" s="63"/>
      <c r="G456" s="17"/>
      <c r="H456" s="51"/>
      <c r="I456" s="47"/>
      <c r="J456" s="47">
        <f>J457</f>
        <v>0</v>
      </c>
      <c r="K456" s="47">
        <f aca="true" t="shared" si="37" ref="K456:L458">K457</f>
        <v>0</v>
      </c>
      <c r="L456" s="47">
        <f t="shared" si="37"/>
        <v>0</v>
      </c>
    </row>
    <row r="457" spans="1:12" s="27" customFormat="1" ht="21" hidden="1">
      <c r="A457" s="93" t="s">
        <v>507</v>
      </c>
      <c r="B457" s="63" t="s">
        <v>258</v>
      </c>
      <c r="C457" s="63" t="s">
        <v>12</v>
      </c>
      <c r="D457" s="63" t="s">
        <v>8</v>
      </c>
      <c r="E457" s="63"/>
      <c r="F457" s="63"/>
      <c r="G457" s="17"/>
      <c r="H457" s="51"/>
      <c r="I457" s="47"/>
      <c r="J457" s="47">
        <f>J458</f>
        <v>0</v>
      </c>
      <c r="K457" s="47">
        <f t="shared" si="37"/>
        <v>0</v>
      </c>
      <c r="L457" s="47">
        <f t="shared" si="37"/>
        <v>0</v>
      </c>
    </row>
    <row r="458" spans="1:12" ht="33.75" hidden="1">
      <c r="A458" s="86" t="s">
        <v>509</v>
      </c>
      <c r="B458" s="64" t="s">
        <v>258</v>
      </c>
      <c r="C458" s="64" t="s">
        <v>12</v>
      </c>
      <c r="D458" s="64" t="s">
        <v>8</v>
      </c>
      <c r="E458" s="64" t="s">
        <v>508</v>
      </c>
      <c r="F458" s="64"/>
      <c r="G458" s="22"/>
      <c r="H458" s="52"/>
      <c r="I458" s="49"/>
      <c r="J458" s="49">
        <f>J459</f>
        <v>0</v>
      </c>
      <c r="K458" s="49">
        <f t="shared" si="37"/>
        <v>0</v>
      </c>
      <c r="L458" s="49">
        <f t="shared" si="37"/>
        <v>0</v>
      </c>
    </row>
    <row r="459" spans="1:12" ht="33.75" hidden="1">
      <c r="A459" s="79" t="s">
        <v>499</v>
      </c>
      <c r="B459" s="64" t="s">
        <v>258</v>
      </c>
      <c r="C459" s="64" t="s">
        <v>12</v>
      </c>
      <c r="D459" s="64" t="s">
        <v>8</v>
      </c>
      <c r="E459" s="64" t="s">
        <v>508</v>
      </c>
      <c r="F459" s="64" t="s">
        <v>147</v>
      </c>
      <c r="G459" s="22"/>
      <c r="H459" s="52"/>
      <c r="I459" s="49"/>
      <c r="J459" s="49">
        <v>0</v>
      </c>
      <c r="K459" s="49"/>
      <c r="L459" s="49">
        <f>J459+K459</f>
        <v>0</v>
      </c>
    </row>
    <row r="460" spans="1:12" s="31" customFormat="1" ht="14.25" customHeight="1">
      <c r="A460" s="101" t="s">
        <v>41</v>
      </c>
      <c r="B460" s="63" t="s">
        <v>258</v>
      </c>
      <c r="C460" s="63" t="s">
        <v>14</v>
      </c>
      <c r="D460" s="63"/>
      <c r="E460" s="63"/>
      <c r="F460" s="63"/>
      <c r="G460" s="17" t="e">
        <f>G501+#REF!+#REF!</f>
        <v>#REF!</v>
      </c>
      <c r="H460" s="47">
        <f>H466+H501+H506+H461</f>
        <v>11023.16</v>
      </c>
      <c r="I460" s="47">
        <f>I466+I501+I506+I461</f>
        <v>4610.923999999999</v>
      </c>
      <c r="J460" s="47">
        <f>J466+J501+J506+J461</f>
        <v>35547.08909999999</v>
      </c>
      <c r="K460" s="47">
        <f>K466+K501+K506+K461</f>
        <v>4601.913879999999</v>
      </c>
      <c r="L460" s="47">
        <f>L466+L501+L506+L461</f>
        <v>40149.00298</v>
      </c>
    </row>
    <row r="461" spans="1:12" ht="15" customHeight="1">
      <c r="A461" s="76" t="s">
        <v>43</v>
      </c>
      <c r="B461" s="63" t="s">
        <v>258</v>
      </c>
      <c r="C461" s="63" t="s">
        <v>14</v>
      </c>
      <c r="D461" s="63" t="s">
        <v>6</v>
      </c>
      <c r="E461" s="63"/>
      <c r="F461" s="63"/>
      <c r="G461" s="24"/>
      <c r="H461" s="51">
        <f aca="true" t="shared" si="38" ref="H461:L462">H462</f>
        <v>2564.73</v>
      </c>
      <c r="I461" s="47">
        <f t="shared" si="38"/>
        <v>-2564.73</v>
      </c>
      <c r="J461" s="47">
        <f t="shared" si="38"/>
        <v>191.804</v>
      </c>
      <c r="K461" s="47">
        <f t="shared" si="38"/>
        <v>-75.627</v>
      </c>
      <c r="L461" s="47">
        <f t="shared" si="38"/>
        <v>116.177</v>
      </c>
    </row>
    <row r="462" spans="1:12" ht="27" customHeight="1">
      <c r="A462" s="77" t="s">
        <v>307</v>
      </c>
      <c r="B462" s="64" t="s">
        <v>258</v>
      </c>
      <c r="C462" s="64" t="s">
        <v>14</v>
      </c>
      <c r="D462" s="64" t="s">
        <v>6</v>
      </c>
      <c r="E462" s="64" t="s">
        <v>308</v>
      </c>
      <c r="F462" s="64"/>
      <c r="G462" s="26"/>
      <c r="H462" s="52">
        <f t="shared" si="38"/>
        <v>2564.73</v>
      </c>
      <c r="I462" s="49">
        <f t="shared" si="38"/>
        <v>-2564.73</v>
      </c>
      <c r="J462" s="49">
        <f t="shared" si="38"/>
        <v>191.804</v>
      </c>
      <c r="K462" s="49">
        <f t="shared" si="38"/>
        <v>-75.627</v>
      </c>
      <c r="L462" s="49">
        <f t="shared" si="38"/>
        <v>116.177</v>
      </c>
    </row>
    <row r="463" spans="1:12" ht="24" customHeight="1">
      <c r="A463" s="77" t="s">
        <v>316</v>
      </c>
      <c r="B463" s="64" t="s">
        <v>258</v>
      </c>
      <c r="C463" s="64" t="s">
        <v>14</v>
      </c>
      <c r="D463" s="64" t="s">
        <v>6</v>
      </c>
      <c r="E463" s="64" t="s">
        <v>294</v>
      </c>
      <c r="F463" s="64"/>
      <c r="G463" s="26"/>
      <c r="H463" s="52">
        <f>H465+H464</f>
        <v>2564.73</v>
      </c>
      <c r="I463" s="52">
        <f>I465+I464</f>
        <v>-2564.73</v>
      </c>
      <c r="J463" s="52">
        <f>J465+J464</f>
        <v>191.804</v>
      </c>
      <c r="K463" s="52">
        <f>K465+K464</f>
        <v>-75.627</v>
      </c>
      <c r="L463" s="52">
        <f>L465+L464</f>
        <v>116.177</v>
      </c>
    </row>
    <row r="464" spans="1:12" ht="24" customHeight="1">
      <c r="A464" s="79" t="s">
        <v>469</v>
      </c>
      <c r="B464" s="64" t="s">
        <v>258</v>
      </c>
      <c r="C464" s="64" t="s">
        <v>14</v>
      </c>
      <c r="D464" s="64" t="s">
        <v>6</v>
      </c>
      <c r="E464" s="64" t="s">
        <v>294</v>
      </c>
      <c r="F464" s="64" t="s">
        <v>468</v>
      </c>
      <c r="G464" s="26"/>
      <c r="H464" s="52"/>
      <c r="I464" s="49"/>
      <c r="J464" s="115">
        <v>191.804</v>
      </c>
      <c r="K464" s="115">
        <v>-75.627</v>
      </c>
      <c r="L464" s="115">
        <f>J464+K464</f>
        <v>116.177</v>
      </c>
    </row>
    <row r="465" spans="1:12" ht="15" customHeight="1" hidden="1">
      <c r="A465" s="77" t="s">
        <v>295</v>
      </c>
      <c r="B465" s="64" t="s">
        <v>258</v>
      </c>
      <c r="C465" s="64" t="s">
        <v>14</v>
      </c>
      <c r="D465" s="64" t="s">
        <v>6</v>
      </c>
      <c r="E465" s="64" t="s">
        <v>294</v>
      </c>
      <c r="F465" s="64" t="s">
        <v>311</v>
      </c>
      <c r="G465" s="26"/>
      <c r="H465" s="52">
        <v>2564.73</v>
      </c>
      <c r="I465" s="49">
        <v>-2564.73</v>
      </c>
      <c r="J465" s="49">
        <f>H465+I465</f>
        <v>0</v>
      </c>
      <c r="K465" s="49"/>
      <c r="L465" s="49">
        <f>J465+K465</f>
        <v>0</v>
      </c>
    </row>
    <row r="466" spans="1:12" ht="18" customHeight="1">
      <c r="A466" s="76" t="s">
        <v>44</v>
      </c>
      <c r="B466" s="63" t="s">
        <v>258</v>
      </c>
      <c r="C466" s="63" t="s">
        <v>14</v>
      </c>
      <c r="D466" s="63" t="s">
        <v>7</v>
      </c>
      <c r="E466" s="64"/>
      <c r="F466" s="64"/>
      <c r="G466" s="26"/>
      <c r="H466" s="52">
        <f>H469+H472+H476+H487+H467</f>
        <v>8411.93</v>
      </c>
      <c r="I466" s="52">
        <f>I469+I472+I476+I487+I467</f>
        <v>7023.954</v>
      </c>
      <c r="J466" s="52">
        <f>J469+J472+J476+J487+J467+J498</f>
        <v>35063.7371</v>
      </c>
      <c r="K466" s="52">
        <f>K469+K472+K476+K487+K467+K498</f>
        <v>4677.54088</v>
      </c>
      <c r="L466" s="52">
        <f>L469+L472+L476+L487+L467+L498</f>
        <v>39741.27798</v>
      </c>
    </row>
    <row r="467" spans="1:12" ht="36" customHeight="1">
      <c r="A467" s="77" t="s">
        <v>523</v>
      </c>
      <c r="B467" s="64" t="s">
        <v>258</v>
      </c>
      <c r="C467" s="64" t="s">
        <v>14</v>
      </c>
      <c r="D467" s="64" t="s">
        <v>7</v>
      </c>
      <c r="E467" s="64" t="s">
        <v>526</v>
      </c>
      <c r="F467" s="64"/>
      <c r="G467" s="26"/>
      <c r="H467" s="52">
        <f>H468</f>
        <v>0</v>
      </c>
      <c r="I467" s="52">
        <f>I468</f>
        <v>0</v>
      </c>
      <c r="J467" s="52">
        <f>J468</f>
        <v>3000</v>
      </c>
      <c r="K467" s="52">
        <f>K468</f>
        <v>720</v>
      </c>
      <c r="L467" s="52">
        <f>L468</f>
        <v>3720</v>
      </c>
    </row>
    <row r="468" spans="1:12" ht="25.5" customHeight="1">
      <c r="A468" s="77" t="s">
        <v>525</v>
      </c>
      <c r="B468" s="64" t="s">
        <v>258</v>
      </c>
      <c r="C468" s="64" t="s">
        <v>14</v>
      </c>
      <c r="D468" s="64" t="s">
        <v>7</v>
      </c>
      <c r="E468" s="64" t="s">
        <v>526</v>
      </c>
      <c r="F468" s="64" t="s">
        <v>410</v>
      </c>
      <c r="G468" s="26"/>
      <c r="H468" s="52"/>
      <c r="I468" s="52"/>
      <c r="J468" s="52">
        <v>3000</v>
      </c>
      <c r="K468" s="52">
        <v>720</v>
      </c>
      <c r="L468" s="52">
        <f>J468+K468</f>
        <v>3720</v>
      </c>
    </row>
    <row r="469" spans="1:12" ht="25.5" customHeight="1">
      <c r="A469" s="90" t="s">
        <v>293</v>
      </c>
      <c r="B469" s="64" t="s">
        <v>258</v>
      </c>
      <c r="C469" s="64" t="s">
        <v>14</v>
      </c>
      <c r="D469" s="64" t="s">
        <v>7</v>
      </c>
      <c r="E469" s="64" t="s">
        <v>294</v>
      </c>
      <c r="F469" s="64"/>
      <c r="G469" s="26"/>
      <c r="H469" s="49">
        <f>H470+H471</f>
        <v>5111</v>
      </c>
      <c r="I469" s="49">
        <f>I470+I471</f>
        <v>-3238.6059999999998</v>
      </c>
      <c r="J469" s="49">
        <f>J470+J471</f>
        <v>2036.066</v>
      </c>
      <c r="K469" s="49">
        <f>K470+K471</f>
        <v>185.53799999999998</v>
      </c>
      <c r="L469" s="49">
        <f>L470+L471</f>
        <v>2221.604</v>
      </c>
    </row>
    <row r="470" spans="1:12" ht="16.5" customHeight="1">
      <c r="A470" s="79" t="s">
        <v>524</v>
      </c>
      <c r="B470" s="64" t="s">
        <v>258</v>
      </c>
      <c r="C470" s="64" t="s">
        <v>14</v>
      </c>
      <c r="D470" s="64" t="s">
        <v>7</v>
      </c>
      <c r="E470" s="64" t="s">
        <v>294</v>
      </c>
      <c r="F470" s="64" t="s">
        <v>468</v>
      </c>
      <c r="G470" s="26"/>
      <c r="H470" s="52"/>
      <c r="I470" s="49">
        <f>1800+72.394</f>
        <v>1872.394</v>
      </c>
      <c r="J470" s="49">
        <v>2036.066</v>
      </c>
      <c r="K470" s="49">
        <f>185.498+0.04</f>
        <v>185.53799999999998</v>
      </c>
      <c r="L470" s="49">
        <f>J470+K470</f>
        <v>2221.604</v>
      </c>
    </row>
    <row r="471" spans="1:12" ht="34.5" hidden="1">
      <c r="A471" s="90" t="s">
        <v>310</v>
      </c>
      <c r="B471" s="64" t="s">
        <v>258</v>
      </c>
      <c r="C471" s="64" t="s">
        <v>14</v>
      </c>
      <c r="D471" s="64" t="s">
        <v>7</v>
      </c>
      <c r="E471" s="64" t="s">
        <v>294</v>
      </c>
      <c r="F471" s="64" t="s">
        <v>311</v>
      </c>
      <c r="G471" s="26"/>
      <c r="H471" s="52">
        <v>5111</v>
      </c>
      <c r="I471" s="49">
        <f>-5111</f>
        <v>-5111</v>
      </c>
      <c r="J471" s="49">
        <f>H471+I471</f>
        <v>0</v>
      </c>
      <c r="K471" s="49"/>
      <c r="L471" s="49">
        <f>J471+K471</f>
        <v>0</v>
      </c>
    </row>
    <row r="472" spans="1:12" ht="21.75" customHeight="1" hidden="1">
      <c r="A472" s="77" t="s">
        <v>122</v>
      </c>
      <c r="B472" s="64" t="s">
        <v>258</v>
      </c>
      <c r="C472" s="64" t="s">
        <v>14</v>
      </c>
      <c r="D472" s="64" t="s">
        <v>7</v>
      </c>
      <c r="E472" s="64" t="s">
        <v>123</v>
      </c>
      <c r="F472" s="64"/>
      <c r="G472" s="26"/>
      <c r="H472" s="52">
        <f>H473</f>
        <v>0</v>
      </c>
      <c r="I472" s="52">
        <f>I473</f>
        <v>0</v>
      </c>
      <c r="J472" s="52">
        <f>J473</f>
        <v>0</v>
      </c>
      <c r="K472" s="52">
        <f>K473</f>
        <v>0</v>
      </c>
      <c r="L472" s="52">
        <f>L473</f>
        <v>0</v>
      </c>
    </row>
    <row r="473" spans="1:12" ht="15" customHeight="1" hidden="1">
      <c r="A473" s="77" t="s">
        <v>98</v>
      </c>
      <c r="B473" s="64" t="s">
        <v>258</v>
      </c>
      <c r="C473" s="64" t="s">
        <v>14</v>
      </c>
      <c r="D473" s="64" t="s">
        <v>7</v>
      </c>
      <c r="E473" s="64" t="s">
        <v>124</v>
      </c>
      <c r="F473" s="64"/>
      <c r="G473" s="26"/>
      <c r="H473" s="52">
        <f>H475+H474</f>
        <v>0</v>
      </c>
      <c r="I473" s="52">
        <f>I475+I474</f>
        <v>0</v>
      </c>
      <c r="J473" s="52">
        <f>J475+J474</f>
        <v>0</v>
      </c>
      <c r="K473" s="52">
        <f>K475+K474</f>
        <v>0</v>
      </c>
      <c r="L473" s="52">
        <f>L475+L474</f>
        <v>0</v>
      </c>
    </row>
    <row r="474" spans="1:12" ht="21.75" customHeight="1" hidden="1">
      <c r="A474" s="77" t="s">
        <v>411</v>
      </c>
      <c r="B474" s="64" t="s">
        <v>258</v>
      </c>
      <c r="C474" s="64" t="s">
        <v>14</v>
      </c>
      <c r="D474" s="64" t="s">
        <v>7</v>
      </c>
      <c r="E474" s="64" t="s">
        <v>124</v>
      </c>
      <c r="F474" s="64" t="s">
        <v>410</v>
      </c>
      <c r="G474" s="26"/>
      <c r="H474" s="52"/>
      <c r="I474" s="52"/>
      <c r="J474" s="52">
        <f>H474+I474</f>
        <v>0</v>
      </c>
      <c r="K474" s="52"/>
      <c r="L474" s="52">
        <f>J474+K474</f>
        <v>0</v>
      </c>
    </row>
    <row r="475" spans="1:12" ht="31.5" customHeight="1" hidden="1">
      <c r="A475" s="79" t="s">
        <v>145</v>
      </c>
      <c r="B475" s="64" t="s">
        <v>258</v>
      </c>
      <c r="C475" s="64" t="s">
        <v>14</v>
      </c>
      <c r="D475" s="64" t="s">
        <v>7</v>
      </c>
      <c r="E475" s="64" t="s">
        <v>124</v>
      </c>
      <c r="F475" s="64" t="s">
        <v>147</v>
      </c>
      <c r="G475" s="26"/>
      <c r="H475" s="52">
        <v>0</v>
      </c>
      <c r="I475" s="49"/>
      <c r="J475" s="49">
        <f>H475+I475</f>
        <v>0</v>
      </c>
      <c r="K475" s="49"/>
      <c r="L475" s="49">
        <f>J475+K475</f>
        <v>0</v>
      </c>
    </row>
    <row r="476" spans="1:12" ht="23.25">
      <c r="A476" s="77" t="s">
        <v>422</v>
      </c>
      <c r="B476" s="64" t="s">
        <v>258</v>
      </c>
      <c r="C476" s="64" t="s">
        <v>14</v>
      </c>
      <c r="D476" s="64" t="s">
        <v>7</v>
      </c>
      <c r="E476" s="64" t="s">
        <v>139</v>
      </c>
      <c r="F476" s="64"/>
      <c r="G476" s="21"/>
      <c r="H476" s="52">
        <f>H477</f>
        <v>3300.93</v>
      </c>
      <c r="I476" s="49">
        <f>I477</f>
        <v>10262.56</v>
      </c>
      <c r="J476" s="49">
        <f>J477</f>
        <v>13885.613000000001</v>
      </c>
      <c r="K476" s="49">
        <f>K477</f>
        <v>425.10303</v>
      </c>
      <c r="L476" s="49">
        <f>L477</f>
        <v>14310.71603</v>
      </c>
    </row>
    <row r="477" spans="1:12" ht="21.75" customHeight="1">
      <c r="A477" s="77" t="s">
        <v>98</v>
      </c>
      <c r="B477" s="64" t="s">
        <v>258</v>
      </c>
      <c r="C477" s="64" t="s">
        <v>14</v>
      </c>
      <c r="D477" s="64" t="s">
        <v>7</v>
      </c>
      <c r="E477" s="64" t="s">
        <v>140</v>
      </c>
      <c r="F477" s="64"/>
      <c r="G477" s="22">
        <f>G478</f>
        <v>200</v>
      </c>
      <c r="H477" s="49">
        <f>H478+H479+H480+H483</f>
        <v>3300.93</v>
      </c>
      <c r="I477" s="49">
        <f>I478+I479+I480+I483</f>
        <v>10262.56</v>
      </c>
      <c r="J477" s="49">
        <f>J478+J479+J480+J483</f>
        <v>13885.613000000001</v>
      </c>
      <c r="K477" s="49">
        <f>K478+K479+K480+K483</f>
        <v>425.10303</v>
      </c>
      <c r="L477" s="49">
        <f>L478+L479+L480+L483</f>
        <v>14310.71603</v>
      </c>
    </row>
    <row r="478" spans="1:12" ht="22.5" customHeight="1" hidden="1">
      <c r="A478" s="77" t="s">
        <v>411</v>
      </c>
      <c r="B478" s="64" t="s">
        <v>258</v>
      </c>
      <c r="C478" s="64" t="s">
        <v>14</v>
      </c>
      <c r="D478" s="64" t="s">
        <v>7</v>
      </c>
      <c r="E478" s="64" t="s">
        <v>140</v>
      </c>
      <c r="F478" s="64" t="s">
        <v>410</v>
      </c>
      <c r="G478" s="22">
        <v>200</v>
      </c>
      <c r="H478" s="52"/>
      <c r="I478" s="49"/>
      <c r="J478" s="49">
        <f>H478+I478</f>
        <v>0</v>
      </c>
      <c r="K478" s="49"/>
      <c r="L478" s="49">
        <f>J478+K478</f>
        <v>0</v>
      </c>
    </row>
    <row r="479" spans="1:12" ht="14.25" customHeight="1" hidden="1">
      <c r="A479" s="90" t="s">
        <v>323</v>
      </c>
      <c r="B479" s="64" t="s">
        <v>258</v>
      </c>
      <c r="C479" s="64" t="s">
        <v>14</v>
      </c>
      <c r="D479" s="64" t="s">
        <v>7</v>
      </c>
      <c r="E479" s="64" t="s">
        <v>140</v>
      </c>
      <c r="F479" s="64" t="s">
        <v>324</v>
      </c>
      <c r="G479" s="22"/>
      <c r="H479" s="52">
        <v>3300.93</v>
      </c>
      <c r="I479" s="49">
        <v>-3300.93</v>
      </c>
      <c r="J479" s="49">
        <f>H479+I479</f>
        <v>0</v>
      </c>
      <c r="K479" s="49"/>
      <c r="L479" s="49">
        <f>J479+K479</f>
        <v>0</v>
      </c>
    </row>
    <row r="480" spans="1:12" ht="14.25" customHeight="1">
      <c r="A480" s="90" t="s">
        <v>466</v>
      </c>
      <c r="B480" s="64" t="s">
        <v>258</v>
      </c>
      <c r="C480" s="64" t="s">
        <v>14</v>
      </c>
      <c r="D480" s="64" t="s">
        <v>7</v>
      </c>
      <c r="E480" s="64" t="s">
        <v>463</v>
      </c>
      <c r="F480" s="64"/>
      <c r="G480" s="22"/>
      <c r="H480" s="52">
        <f>H481+H482</f>
        <v>0</v>
      </c>
      <c r="I480" s="52">
        <f>I481+I482</f>
        <v>3896.69</v>
      </c>
      <c r="J480" s="52">
        <f>J481+J482</f>
        <v>4298.1</v>
      </c>
      <c r="K480" s="52">
        <f>K481+K482</f>
        <v>444.20303</v>
      </c>
      <c r="L480" s="52">
        <f>L481+L482</f>
        <v>4742.30303</v>
      </c>
    </row>
    <row r="481" spans="1:12" ht="38.25" customHeight="1">
      <c r="A481" s="90" t="s">
        <v>465</v>
      </c>
      <c r="B481" s="64" t="s">
        <v>258</v>
      </c>
      <c r="C481" s="64" t="s">
        <v>14</v>
      </c>
      <c r="D481" s="64" t="s">
        <v>7</v>
      </c>
      <c r="E481" s="64" t="s">
        <v>463</v>
      </c>
      <c r="F481" s="64" t="s">
        <v>459</v>
      </c>
      <c r="G481" s="22"/>
      <c r="H481" s="52"/>
      <c r="I481" s="49">
        <v>3896.69</v>
      </c>
      <c r="J481" s="49">
        <v>4298.1</v>
      </c>
      <c r="K481" s="49">
        <f>183.77803+61.425+50+149</f>
        <v>444.20303</v>
      </c>
      <c r="L481" s="49">
        <f>J481+K481</f>
        <v>4742.30303</v>
      </c>
    </row>
    <row r="482" spans="1:12" ht="16.5" customHeight="1" hidden="1">
      <c r="A482" s="90" t="s">
        <v>438</v>
      </c>
      <c r="B482" s="64" t="s">
        <v>258</v>
      </c>
      <c r="C482" s="64" t="s">
        <v>14</v>
      </c>
      <c r="D482" s="64" t="s">
        <v>7</v>
      </c>
      <c r="E482" s="64" t="s">
        <v>463</v>
      </c>
      <c r="F482" s="64" t="s">
        <v>428</v>
      </c>
      <c r="G482" s="22"/>
      <c r="H482" s="52"/>
      <c r="I482" s="49"/>
      <c r="J482" s="49">
        <f>H482+I482</f>
        <v>0</v>
      </c>
      <c r="K482" s="49"/>
      <c r="L482" s="49">
        <f>J482+K482</f>
        <v>0</v>
      </c>
    </row>
    <row r="483" spans="1:12" ht="14.25" customHeight="1">
      <c r="A483" s="90" t="s">
        <v>467</v>
      </c>
      <c r="B483" s="64" t="s">
        <v>258</v>
      </c>
      <c r="C483" s="64" t="s">
        <v>14</v>
      </c>
      <c r="D483" s="64" t="s">
        <v>7</v>
      </c>
      <c r="E483" s="64" t="s">
        <v>464</v>
      </c>
      <c r="F483" s="64"/>
      <c r="G483" s="22"/>
      <c r="H483" s="52">
        <f>H484+H485</f>
        <v>0</v>
      </c>
      <c r="I483" s="52">
        <f>I484+I485</f>
        <v>9666.8</v>
      </c>
      <c r="J483" s="52">
        <f>J484+J485+J486</f>
        <v>9587.513</v>
      </c>
      <c r="K483" s="52">
        <f>K484+K485+K486</f>
        <v>-19.100000000000023</v>
      </c>
      <c r="L483" s="52">
        <f>L484+L485+L486</f>
        <v>9568.413</v>
      </c>
    </row>
    <row r="484" spans="1:12" ht="35.25" customHeight="1">
      <c r="A484" s="90" t="s">
        <v>465</v>
      </c>
      <c r="B484" s="64" t="s">
        <v>258</v>
      </c>
      <c r="C484" s="64" t="s">
        <v>14</v>
      </c>
      <c r="D484" s="64" t="s">
        <v>7</v>
      </c>
      <c r="E484" s="64" t="s">
        <v>464</v>
      </c>
      <c r="F484" s="64" t="s">
        <v>459</v>
      </c>
      <c r="G484" s="22"/>
      <c r="H484" s="52"/>
      <c r="I484" s="49">
        <v>9409.8</v>
      </c>
      <c r="J484" s="49">
        <v>8220.513</v>
      </c>
      <c r="K484" s="49">
        <f>-449+129.9+300</f>
        <v>-19.100000000000023</v>
      </c>
      <c r="L484" s="49">
        <f>J484+K484</f>
        <v>8201.413</v>
      </c>
    </row>
    <row r="485" spans="1:12" ht="14.25" customHeight="1">
      <c r="A485" s="90" t="s">
        <v>438</v>
      </c>
      <c r="B485" s="64" t="s">
        <v>258</v>
      </c>
      <c r="C485" s="64" t="s">
        <v>14</v>
      </c>
      <c r="D485" s="64" t="s">
        <v>7</v>
      </c>
      <c r="E485" s="64" t="s">
        <v>464</v>
      </c>
      <c r="F485" s="64" t="s">
        <v>428</v>
      </c>
      <c r="G485" s="22"/>
      <c r="H485" s="52"/>
      <c r="I485" s="49">
        <f>107+150</f>
        <v>257</v>
      </c>
      <c r="J485" s="49">
        <v>1067</v>
      </c>
      <c r="K485" s="49"/>
      <c r="L485" s="49">
        <f>J485+K485</f>
        <v>1067</v>
      </c>
    </row>
    <row r="486" spans="1:12" ht="32.25" customHeight="1">
      <c r="A486" s="90" t="s">
        <v>490</v>
      </c>
      <c r="B486" s="64" t="s">
        <v>258</v>
      </c>
      <c r="C486" s="64" t="s">
        <v>14</v>
      </c>
      <c r="D486" s="64" t="s">
        <v>7</v>
      </c>
      <c r="E486" s="64" t="s">
        <v>464</v>
      </c>
      <c r="F486" s="64" t="s">
        <v>410</v>
      </c>
      <c r="G486" s="22"/>
      <c r="H486" s="52"/>
      <c r="I486" s="49"/>
      <c r="J486" s="49">
        <v>300</v>
      </c>
      <c r="K486" s="49"/>
      <c r="L486" s="49">
        <f>J486+K486</f>
        <v>300</v>
      </c>
    </row>
    <row r="487" spans="1:12" ht="17.25" customHeight="1">
      <c r="A487" s="90" t="s">
        <v>317</v>
      </c>
      <c r="B487" s="64" t="s">
        <v>258</v>
      </c>
      <c r="C487" s="64" t="s">
        <v>14</v>
      </c>
      <c r="D487" s="64" t="s">
        <v>7</v>
      </c>
      <c r="E487" s="64" t="s">
        <v>318</v>
      </c>
      <c r="F487" s="64"/>
      <c r="G487" s="26"/>
      <c r="H487" s="52">
        <f>H488+H490+H494</f>
        <v>0</v>
      </c>
      <c r="I487" s="52">
        <f>I488+I490+I494</f>
        <v>0</v>
      </c>
      <c r="J487" s="52">
        <f>J488+J490+J494+J492+J496</f>
        <v>14902.0581</v>
      </c>
      <c r="K487" s="52">
        <f>K488+K490+K494+K492+K496</f>
        <v>3346.89985</v>
      </c>
      <c r="L487" s="52">
        <f>L488+L490+L494+L492+L496</f>
        <v>18248.95795</v>
      </c>
    </row>
    <row r="488" spans="1:12" ht="21.75" customHeight="1" hidden="1">
      <c r="A488" s="90" t="s">
        <v>319</v>
      </c>
      <c r="B488" s="64" t="s">
        <v>258</v>
      </c>
      <c r="C488" s="64" t="s">
        <v>14</v>
      </c>
      <c r="D488" s="64" t="s">
        <v>7</v>
      </c>
      <c r="E488" s="64" t="s">
        <v>320</v>
      </c>
      <c r="F488" s="64"/>
      <c r="G488" s="26"/>
      <c r="H488" s="49">
        <f>H489</f>
        <v>0</v>
      </c>
      <c r="I488" s="49">
        <f>I489</f>
        <v>0</v>
      </c>
      <c r="J488" s="49">
        <f>J489</f>
        <v>0</v>
      </c>
      <c r="K488" s="49">
        <f>K489</f>
        <v>0</v>
      </c>
      <c r="L488" s="49">
        <f>L489</f>
        <v>0</v>
      </c>
    </row>
    <row r="489" spans="1:12" ht="15" customHeight="1" hidden="1">
      <c r="A489" s="90" t="s">
        <v>295</v>
      </c>
      <c r="B489" s="64" t="s">
        <v>258</v>
      </c>
      <c r="C489" s="64" t="s">
        <v>14</v>
      </c>
      <c r="D489" s="64" t="s">
        <v>7</v>
      </c>
      <c r="E489" s="64" t="s">
        <v>320</v>
      </c>
      <c r="F489" s="64" t="s">
        <v>296</v>
      </c>
      <c r="G489" s="26"/>
      <c r="H489" s="52"/>
      <c r="I489" s="49"/>
      <c r="J489" s="49">
        <f>H489+I489</f>
        <v>0</v>
      </c>
      <c r="K489" s="49">
        <f>I489+J489</f>
        <v>0</v>
      </c>
      <c r="L489" s="49">
        <f>J489+K489</f>
        <v>0</v>
      </c>
    </row>
    <row r="490" spans="1:12" ht="21" customHeight="1">
      <c r="A490" s="79" t="s">
        <v>367</v>
      </c>
      <c r="B490" s="64" t="s">
        <v>258</v>
      </c>
      <c r="C490" s="64" t="s">
        <v>14</v>
      </c>
      <c r="D490" s="64" t="s">
        <v>7</v>
      </c>
      <c r="E490" s="64" t="s">
        <v>368</v>
      </c>
      <c r="F490" s="64"/>
      <c r="G490" s="26"/>
      <c r="H490" s="52">
        <f>H492+H491</f>
        <v>0</v>
      </c>
      <c r="I490" s="52">
        <f>I492+I491</f>
        <v>0</v>
      </c>
      <c r="J490" s="52">
        <f>J491</f>
        <v>8000</v>
      </c>
      <c r="K490" s="52">
        <f>K491</f>
        <v>0</v>
      </c>
      <c r="L490" s="52">
        <f>L491</f>
        <v>8000</v>
      </c>
    </row>
    <row r="491" spans="1:12" ht="36" customHeight="1">
      <c r="A491" s="79" t="s">
        <v>469</v>
      </c>
      <c r="B491" s="64" t="s">
        <v>258</v>
      </c>
      <c r="C491" s="64" t="s">
        <v>14</v>
      </c>
      <c r="D491" s="64" t="s">
        <v>7</v>
      </c>
      <c r="E491" s="64" t="s">
        <v>368</v>
      </c>
      <c r="F491" s="64" t="s">
        <v>468</v>
      </c>
      <c r="G491" s="26"/>
      <c r="H491" s="52"/>
      <c r="I491" s="52"/>
      <c r="J491" s="49">
        <v>8000</v>
      </c>
      <c r="K491" s="52"/>
      <c r="L491" s="49">
        <f>J491+K491</f>
        <v>8000</v>
      </c>
    </row>
    <row r="492" spans="1:12" ht="35.25" customHeight="1">
      <c r="A492" s="79" t="s">
        <v>382</v>
      </c>
      <c r="B492" s="64" t="s">
        <v>258</v>
      </c>
      <c r="C492" s="64" t="s">
        <v>14</v>
      </c>
      <c r="D492" s="64" t="s">
        <v>7</v>
      </c>
      <c r="E492" s="64" t="s">
        <v>383</v>
      </c>
      <c r="F492" s="64"/>
      <c r="G492" s="22"/>
      <c r="H492" s="49">
        <f>H493</f>
        <v>0</v>
      </c>
      <c r="I492" s="49">
        <f>I493</f>
        <v>0</v>
      </c>
      <c r="J492" s="49">
        <f>J493</f>
        <v>1250</v>
      </c>
      <c r="K492" s="49">
        <f>K493</f>
        <v>0</v>
      </c>
      <c r="L492" s="49">
        <f>L493</f>
        <v>1250</v>
      </c>
    </row>
    <row r="493" spans="1:12" ht="33" customHeight="1">
      <c r="A493" s="90" t="s">
        <v>490</v>
      </c>
      <c r="B493" s="64" t="s">
        <v>258</v>
      </c>
      <c r="C493" s="64" t="s">
        <v>14</v>
      </c>
      <c r="D493" s="64" t="s">
        <v>7</v>
      </c>
      <c r="E493" s="64" t="s">
        <v>383</v>
      </c>
      <c r="F493" s="64" t="s">
        <v>410</v>
      </c>
      <c r="G493" s="22"/>
      <c r="H493" s="49"/>
      <c r="I493" s="49"/>
      <c r="J493" s="49">
        <v>1250</v>
      </c>
      <c r="K493" s="49"/>
      <c r="L493" s="49">
        <f>J493+K493</f>
        <v>1250</v>
      </c>
    </row>
    <row r="494" spans="1:12" ht="30" customHeight="1">
      <c r="A494" s="90" t="s">
        <v>321</v>
      </c>
      <c r="B494" s="64" t="s">
        <v>258</v>
      </c>
      <c r="C494" s="64" t="s">
        <v>14</v>
      </c>
      <c r="D494" s="64" t="s">
        <v>7</v>
      </c>
      <c r="E494" s="64" t="s">
        <v>322</v>
      </c>
      <c r="F494" s="64"/>
      <c r="G494" s="21">
        <f>G495</f>
        <v>52.672</v>
      </c>
      <c r="H494" s="49">
        <f>H495+H497</f>
        <v>0</v>
      </c>
      <c r="I494" s="49">
        <f>I495+I497</f>
        <v>0</v>
      </c>
      <c r="J494" s="49">
        <f>J495</f>
        <v>5000</v>
      </c>
      <c r="K494" s="49">
        <f>K495</f>
        <v>3000</v>
      </c>
      <c r="L494" s="49">
        <f>L495</f>
        <v>8000</v>
      </c>
    </row>
    <row r="495" spans="1:12" ht="35.25" customHeight="1">
      <c r="A495" s="79" t="s">
        <v>469</v>
      </c>
      <c r="B495" s="64" t="s">
        <v>258</v>
      </c>
      <c r="C495" s="64" t="s">
        <v>14</v>
      </c>
      <c r="D495" s="64" t="s">
        <v>7</v>
      </c>
      <c r="E495" s="64" t="s">
        <v>322</v>
      </c>
      <c r="F495" s="64" t="s">
        <v>468</v>
      </c>
      <c r="G495" s="21">
        <f>52.672</f>
        <v>52.672</v>
      </c>
      <c r="H495" s="52"/>
      <c r="I495" s="49"/>
      <c r="J495" s="49">
        <v>5000</v>
      </c>
      <c r="K495" s="49">
        <v>3000</v>
      </c>
      <c r="L495" s="49">
        <f>J495+K495</f>
        <v>8000</v>
      </c>
    </row>
    <row r="496" spans="1:12" ht="33.75">
      <c r="A496" s="131" t="s">
        <v>512</v>
      </c>
      <c r="B496" s="64" t="s">
        <v>258</v>
      </c>
      <c r="C496" s="64" t="s">
        <v>14</v>
      </c>
      <c r="D496" s="64" t="s">
        <v>7</v>
      </c>
      <c r="E496" s="64" t="s">
        <v>514</v>
      </c>
      <c r="F496" s="64"/>
      <c r="G496" s="21"/>
      <c r="H496" s="52"/>
      <c r="I496" s="49"/>
      <c r="J496" s="49">
        <f>J497</f>
        <v>652.0581</v>
      </c>
      <c r="K496" s="49">
        <f>K497</f>
        <v>346.89985</v>
      </c>
      <c r="L496" s="49">
        <f>L497</f>
        <v>998.95795</v>
      </c>
    </row>
    <row r="497" spans="1:12" ht="36.75" customHeight="1">
      <c r="A497" s="117" t="s">
        <v>502</v>
      </c>
      <c r="B497" s="64" t="s">
        <v>258</v>
      </c>
      <c r="C497" s="64" t="s">
        <v>14</v>
      </c>
      <c r="D497" s="64" t="s">
        <v>7</v>
      </c>
      <c r="E497" s="64" t="s">
        <v>514</v>
      </c>
      <c r="F497" s="64" t="s">
        <v>459</v>
      </c>
      <c r="G497" s="21"/>
      <c r="H497" s="52"/>
      <c r="I497" s="49"/>
      <c r="J497" s="49">
        <v>652.0581</v>
      </c>
      <c r="K497" s="49">
        <v>346.89985</v>
      </c>
      <c r="L497" s="49">
        <f>J497+K497</f>
        <v>998.95795</v>
      </c>
    </row>
    <row r="498" spans="1:12" ht="15">
      <c r="A498" s="79" t="s">
        <v>312</v>
      </c>
      <c r="B498" s="64" t="s">
        <v>258</v>
      </c>
      <c r="C498" s="64" t="s">
        <v>14</v>
      </c>
      <c r="D498" s="64" t="s">
        <v>7</v>
      </c>
      <c r="E498" s="64" t="s">
        <v>252</v>
      </c>
      <c r="F498" s="64"/>
      <c r="G498" s="21"/>
      <c r="H498" s="52"/>
      <c r="I498" s="49"/>
      <c r="J498" s="49">
        <f aca="true" t="shared" si="39" ref="J498:L499">J499</f>
        <v>1240</v>
      </c>
      <c r="K498" s="49">
        <f t="shared" si="39"/>
        <v>0</v>
      </c>
      <c r="L498" s="49">
        <f t="shared" si="39"/>
        <v>1240</v>
      </c>
    </row>
    <row r="499" spans="1:12" ht="22.5">
      <c r="A499" s="80" t="s">
        <v>278</v>
      </c>
      <c r="B499" s="64" t="s">
        <v>258</v>
      </c>
      <c r="C499" s="64" t="s">
        <v>14</v>
      </c>
      <c r="D499" s="64" t="s">
        <v>7</v>
      </c>
      <c r="E499" s="64" t="s">
        <v>279</v>
      </c>
      <c r="F499" s="64"/>
      <c r="G499" s="21"/>
      <c r="H499" s="52"/>
      <c r="I499" s="49"/>
      <c r="J499" s="49">
        <f t="shared" si="39"/>
        <v>1240</v>
      </c>
      <c r="K499" s="49">
        <f t="shared" si="39"/>
        <v>0</v>
      </c>
      <c r="L499" s="49">
        <f t="shared" si="39"/>
        <v>1240</v>
      </c>
    </row>
    <row r="500" spans="1:12" ht="34.5">
      <c r="A500" s="90" t="s">
        <v>490</v>
      </c>
      <c r="B500" s="64" t="s">
        <v>258</v>
      </c>
      <c r="C500" s="64" t="s">
        <v>14</v>
      </c>
      <c r="D500" s="64" t="s">
        <v>7</v>
      </c>
      <c r="E500" s="64" t="s">
        <v>279</v>
      </c>
      <c r="F500" s="64" t="s">
        <v>410</v>
      </c>
      <c r="G500" s="21"/>
      <c r="H500" s="52"/>
      <c r="I500" s="49"/>
      <c r="J500" s="49">
        <v>1240</v>
      </c>
      <c r="K500" s="49"/>
      <c r="L500" s="49">
        <f>J500+K500</f>
        <v>1240</v>
      </c>
    </row>
    <row r="501" spans="1:12" s="27" customFormat="1" ht="14.25">
      <c r="A501" s="90" t="s">
        <v>223</v>
      </c>
      <c r="B501" s="63" t="s">
        <v>258</v>
      </c>
      <c r="C501" s="63" t="s">
        <v>14</v>
      </c>
      <c r="D501" s="63" t="s">
        <v>11</v>
      </c>
      <c r="E501" s="63"/>
      <c r="F501" s="63"/>
      <c r="G501" s="19" t="e">
        <f>G502+#REF!</f>
        <v>#REF!</v>
      </c>
      <c r="H501" s="51">
        <f aca="true" t="shared" si="40" ref="H501:L502">H502</f>
        <v>31.5</v>
      </c>
      <c r="I501" s="51">
        <f t="shared" si="40"/>
        <v>151.7</v>
      </c>
      <c r="J501" s="51">
        <f t="shared" si="40"/>
        <v>183.2</v>
      </c>
      <c r="K501" s="51">
        <f t="shared" si="40"/>
        <v>0</v>
      </c>
      <c r="L501" s="51">
        <f t="shared" si="40"/>
        <v>183.2</v>
      </c>
    </row>
    <row r="502" spans="1:12" ht="27.75" customHeight="1">
      <c r="A502" s="90" t="s">
        <v>88</v>
      </c>
      <c r="B502" s="64" t="s">
        <v>258</v>
      </c>
      <c r="C502" s="64" t="s">
        <v>14</v>
      </c>
      <c r="D502" s="64" t="s">
        <v>11</v>
      </c>
      <c r="E502" s="64" t="s">
        <v>89</v>
      </c>
      <c r="F502" s="64"/>
      <c r="G502" s="22" t="e">
        <f>G503</f>
        <v>#REF!</v>
      </c>
      <c r="H502" s="52">
        <f t="shared" si="40"/>
        <v>31.5</v>
      </c>
      <c r="I502" s="49">
        <f t="shared" si="40"/>
        <v>151.7</v>
      </c>
      <c r="J502" s="49">
        <f t="shared" si="40"/>
        <v>183.2</v>
      </c>
      <c r="K502" s="49">
        <f t="shared" si="40"/>
        <v>0</v>
      </c>
      <c r="L502" s="49">
        <f t="shared" si="40"/>
        <v>183.2</v>
      </c>
    </row>
    <row r="503" spans="1:12" ht="18" customHeight="1">
      <c r="A503" s="90" t="s">
        <v>90</v>
      </c>
      <c r="B503" s="64" t="s">
        <v>258</v>
      </c>
      <c r="C503" s="64" t="s">
        <v>14</v>
      </c>
      <c r="D503" s="64" t="s">
        <v>11</v>
      </c>
      <c r="E503" s="64" t="s">
        <v>91</v>
      </c>
      <c r="F503" s="64"/>
      <c r="G503" s="21" t="e">
        <f>#REF!+G505+G504</f>
        <v>#REF!</v>
      </c>
      <c r="H503" s="53">
        <f>H505+H504</f>
        <v>31.5</v>
      </c>
      <c r="I503" s="49">
        <f>I505+I504</f>
        <v>151.7</v>
      </c>
      <c r="J503" s="53">
        <f>J505+J504</f>
        <v>183.2</v>
      </c>
      <c r="K503" s="49">
        <f>K505+K504</f>
        <v>0</v>
      </c>
      <c r="L503" s="53">
        <f>L505+L504</f>
        <v>183.2</v>
      </c>
    </row>
    <row r="504" spans="1:12" ht="22.5" customHeight="1">
      <c r="A504" s="79" t="s">
        <v>153</v>
      </c>
      <c r="B504" s="64" t="s">
        <v>258</v>
      </c>
      <c r="C504" s="64" t="s">
        <v>14</v>
      </c>
      <c r="D504" s="64" t="s">
        <v>11</v>
      </c>
      <c r="E504" s="64" t="s">
        <v>91</v>
      </c>
      <c r="F504" s="64" t="s">
        <v>154</v>
      </c>
      <c r="G504" s="22"/>
      <c r="H504" s="52">
        <v>11.5</v>
      </c>
      <c r="I504" s="49">
        <v>10</v>
      </c>
      <c r="J504" s="49">
        <f>H504+I504</f>
        <v>21.5</v>
      </c>
      <c r="K504" s="49"/>
      <c r="L504" s="49">
        <f>J504+K504</f>
        <v>21.5</v>
      </c>
    </row>
    <row r="505" spans="1:12" ht="24" customHeight="1">
      <c r="A505" s="79" t="s">
        <v>499</v>
      </c>
      <c r="B505" s="64" t="s">
        <v>258</v>
      </c>
      <c r="C505" s="64" t="s">
        <v>14</v>
      </c>
      <c r="D505" s="64" t="s">
        <v>11</v>
      </c>
      <c r="E505" s="64" t="s">
        <v>91</v>
      </c>
      <c r="F505" s="64" t="s">
        <v>147</v>
      </c>
      <c r="G505" s="22"/>
      <c r="H505" s="52">
        <v>20</v>
      </c>
      <c r="I505" s="49">
        <v>141.7</v>
      </c>
      <c r="J505" s="49">
        <f>H505+I505</f>
        <v>161.7</v>
      </c>
      <c r="K505" s="49"/>
      <c r="L505" s="49">
        <f>J505+K505</f>
        <v>161.7</v>
      </c>
    </row>
    <row r="506" spans="1:12" s="27" customFormat="1" ht="14.25">
      <c r="A506" s="89" t="s">
        <v>46</v>
      </c>
      <c r="B506" s="63" t="s">
        <v>258</v>
      </c>
      <c r="C506" s="63" t="s">
        <v>14</v>
      </c>
      <c r="D506" s="63" t="s">
        <v>14</v>
      </c>
      <c r="E506" s="63"/>
      <c r="F506" s="63"/>
      <c r="G506" s="17"/>
      <c r="H506" s="51">
        <f>H509</f>
        <v>15</v>
      </c>
      <c r="I506" s="51">
        <f>I509</f>
        <v>0</v>
      </c>
      <c r="J506" s="51">
        <f>J509+J507</f>
        <v>108.348</v>
      </c>
      <c r="K506" s="51">
        <f>K509+K507</f>
        <v>0</v>
      </c>
      <c r="L506" s="51">
        <f>L509+L507</f>
        <v>108.348</v>
      </c>
    </row>
    <row r="507" spans="1:12" ht="23.25">
      <c r="A507" s="77" t="s">
        <v>359</v>
      </c>
      <c r="B507" s="64" t="s">
        <v>258</v>
      </c>
      <c r="C507" s="64" t="s">
        <v>14</v>
      </c>
      <c r="D507" s="64" t="s">
        <v>14</v>
      </c>
      <c r="E507" s="64" t="s">
        <v>148</v>
      </c>
      <c r="F507" s="64"/>
      <c r="G507" s="22"/>
      <c r="H507" s="52"/>
      <c r="I507" s="52"/>
      <c r="J507" s="52">
        <f>J508</f>
        <v>93.348</v>
      </c>
      <c r="K507" s="52">
        <f>K508</f>
        <v>0</v>
      </c>
      <c r="L507" s="52">
        <f>L508</f>
        <v>93.348</v>
      </c>
    </row>
    <row r="508" spans="1:12" ht="15">
      <c r="A508" s="127" t="s">
        <v>438</v>
      </c>
      <c r="B508" s="64" t="s">
        <v>258</v>
      </c>
      <c r="C508" s="64" t="s">
        <v>14</v>
      </c>
      <c r="D508" s="64" t="s">
        <v>14</v>
      </c>
      <c r="E508" s="64" t="s">
        <v>148</v>
      </c>
      <c r="F508" s="64" t="s">
        <v>428</v>
      </c>
      <c r="G508" s="22"/>
      <c r="H508" s="52"/>
      <c r="I508" s="52"/>
      <c r="J508" s="52">
        <v>93.348</v>
      </c>
      <c r="K508" s="52"/>
      <c r="L508" s="52">
        <f>J508+K508</f>
        <v>93.348</v>
      </c>
    </row>
    <row r="509" spans="1:12" s="27" customFormat="1" ht="14.25">
      <c r="A509" s="90" t="s">
        <v>312</v>
      </c>
      <c r="B509" s="64" t="s">
        <v>258</v>
      </c>
      <c r="C509" s="64" t="s">
        <v>14</v>
      </c>
      <c r="D509" s="64" t="s">
        <v>14</v>
      </c>
      <c r="E509" s="64" t="s">
        <v>252</v>
      </c>
      <c r="F509" s="63"/>
      <c r="G509" s="17"/>
      <c r="H509" s="52">
        <f aca="true" t="shared" si="41" ref="H509:L510">H510</f>
        <v>15</v>
      </c>
      <c r="I509" s="52">
        <f t="shared" si="41"/>
        <v>0</v>
      </c>
      <c r="J509" s="52">
        <f t="shared" si="41"/>
        <v>15</v>
      </c>
      <c r="K509" s="52">
        <f t="shared" si="41"/>
        <v>0</v>
      </c>
      <c r="L509" s="52">
        <f t="shared" si="41"/>
        <v>15</v>
      </c>
    </row>
    <row r="510" spans="1:12" ht="30" customHeight="1">
      <c r="A510" s="80" t="s">
        <v>325</v>
      </c>
      <c r="B510" s="64" t="s">
        <v>258</v>
      </c>
      <c r="C510" s="64" t="s">
        <v>14</v>
      </c>
      <c r="D510" s="64" t="s">
        <v>14</v>
      </c>
      <c r="E510" s="64" t="s">
        <v>326</v>
      </c>
      <c r="F510" s="64"/>
      <c r="G510" s="22"/>
      <c r="H510" s="52">
        <f t="shared" si="41"/>
        <v>15</v>
      </c>
      <c r="I510" s="52">
        <f t="shared" si="41"/>
        <v>0</v>
      </c>
      <c r="J510" s="52">
        <f t="shared" si="41"/>
        <v>15</v>
      </c>
      <c r="K510" s="52">
        <f t="shared" si="41"/>
        <v>0</v>
      </c>
      <c r="L510" s="52">
        <f t="shared" si="41"/>
        <v>15</v>
      </c>
    </row>
    <row r="511" spans="1:12" ht="20.25" customHeight="1">
      <c r="A511" s="79" t="s">
        <v>499</v>
      </c>
      <c r="B511" s="64" t="s">
        <v>258</v>
      </c>
      <c r="C511" s="64" t="s">
        <v>14</v>
      </c>
      <c r="D511" s="64" t="s">
        <v>14</v>
      </c>
      <c r="E511" s="64" t="s">
        <v>326</v>
      </c>
      <c r="F511" s="64" t="s">
        <v>147</v>
      </c>
      <c r="G511" s="22"/>
      <c r="H511" s="52">
        <v>15</v>
      </c>
      <c r="I511" s="49"/>
      <c r="J511" s="49">
        <f>H511+I511</f>
        <v>15</v>
      </c>
      <c r="K511" s="49"/>
      <c r="L511" s="49">
        <f>J511+K511</f>
        <v>15</v>
      </c>
    </row>
    <row r="512" spans="1:12" s="31" customFormat="1" ht="22.5" customHeight="1">
      <c r="A512" s="89" t="s">
        <v>375</v>
      </c>
      <c r="B512" s="63" t="s">
        <v>258</v>
      </c>
      <c r="C512" s="63" t="s">
        <v>34</v>
      </c>
      <c r="D512" s="63"/>
      <c r="E512" s="63"/>
      <c r="F512" s="63"/>
      <c r="G512" s="17" t="e">
        <f>#REF!+#REF!</f>
        <v>#REF!</v>
      </c>
      <c r="H512" s="51">
        <f>H513+H517</f>
        <v>2210.41</v>
      </c>
      <c r="I512" s="51">
        <f>I513+I517</f>
        <v>-2013.61</v>
      </c>
      <c r="J512" s="51">
        <f>J513+J517</f>
        <v>80</v>
      </c>
      <c r="K512" s="51">
        <f>K513+K517</f>
        <v>-20</v>
      </c>
      <c r="L512" s="51">
        <f>L513+L517</f>
        <v>60</v>
      </c>
    </row>
    <row r="513" spans="1:12" s="31" customFormat="1" ht="15" customHeight="1" hidden="1">
      <c r="A513" s="90" t="s">
        <v>50</v>
      </c>
      <c r="B513" s="63" t="s">
        <v>258</v>
      </c>
      <c r="C513" s="63" t="s">
        <v>34</v>
      </c>
      <c r="D513" s="63" t="s">
        <v>6</v>
      </c>
      <c r="E513" s="63"/>
      <c r="F513" s="63"/>
      <c r="G513" s="17"/>
      <c r="H513" s="51">
        <f>H514</f>
        <v>2060.41</v>
      </c>
      <c r="I513" s="51">
        <f>I514</f>
        <v>-2060.41</v>
      </c>
      <c r="J513" s="51">
        <f>J514</f>
        <v>0</v>
      </c>
      <c r="K513" s="51">
        <f>K514</f>
        <v>0</v>
      </c>
      <c r="L513" s="51">
        <f>L514</f>
        <v>0</v>
      </c>
    </row>
    <row r="514" spans="1:12" s="31" customFormat="1" ht="23.25" customHeight="1" hidden="1">
      <c r="A514" s="90" t="s">
        <v>293</v>
      </c>
      <c r="B514" s="64" t="s">
        <v>258</v>
      </c>
      <c r="C514" s="64" t="s">
        <v>34</v>
      </c>
      <c r="D514" s="64" t="s">
        <v>6</v>
      </c>
      <c r="E514" s="64" t="s">
        <v>309</v>
      </c>
      <c r="F514" s="64"/>
      <c r="G514" s="22"/>
      <c r="H514" s="52">
        <f>H516+H515</f>
        <v>2060.41</v>
      </c>
      <c r="I514" s="52">
        <f>I516+I515</f>
        <v>-2060.41</v>
      </c>
      <c r="J514" s="52">
        <f>J516+J515</f>
        <v>0</v>
      </c>
      <c r="K514" s="52">
        <f>K516+K515</f>
        <v>0</v>
      </c>
      <c r="L514" s="52">
        <f>L516+L515</f>
        <v>0</v>
      </c>
    </row>
    <row r="515" spans="1:12" s="31" customFormat="1" ht="23.25" customHeight="1" hidden="1">
      <c r="A515" s="79" t="s">
        <v>469</v>
      </c>
      <c r="B515" s="64" t="s">
        <v>258</v>
      </c>
      <c r="C515" s="64" t="s">
        <v>34</v>
      </c>
      <c r="D515" s="64" t="s">
        <v>6</v>
      </c>
      <c r="E515" s="64" t="s">
        <v>294</v>
      </c>
      <c r="F515" s="64" t="s">
        <v>468</v>
      </c>
      <c r="G515" s="22"/>
      <c r="H515" s="52"/>
      <c r="I515" s="52"/>
      <c r="J515" s="52">
        <f>H515+I515</f>
        <v>0</v>
      </c>
      <c r="K515" s="52"/>
      <c r="L515" s="52">
        <f>J515+K515</f>
        <v>0</v>
      </c>
    </row>
    <row r="516" spans="1:12" s="31" customFormat="1" ht="37.5" customHeight="1" hidden="1">
      <c r="A516" s="90" t="s">
        <v>310</v>
      </c>
      <c r="B516" s="64" t="s">
        <v>258</v>
      </c>
      <c r="C516" s="64" t="s">
        <v>34</v>
      </c>
      <c r="D516" s="64" t="s">
        <v>6</v>
      </c>
      <c r="E516" s="64" t="s">
        <v>294</v>
      </c>
      <c r="F516" s="64" t="s">
        <v>311</v>
      </c>
      <c r="G516" s="22"/>
      <c r="H516" s="52">
        <v>2060.41</v>
      </c>
      <c r="I516" s="49">
        <v>-2060.41</v>
      </c>
      <c r="J516" s="49">
        <f>H516+I516</f>
        <v>0</v>
      </c>
      <c r="K516" s="49"/>
      <c r="L516" s="49">
        <f>J516+K516</f>
        <v>0</v>
      </c>
    </row>
    <row r="517" spans="1:12" ht="31.5" customHeight="1">
      <c r="A517" s="89" t="s">
        <v>331</v>
      </c>
      <c r="B517" s="63" t="s">
        <v>258</v>
      </c>
      <c r="C517" s="63" t="s">
        <v>34</v>
      </c>
      <c r="D517" s="63" t="s">
        <v>9</v>
      </c>
      <c r="E517" s="63"/>
      <c r="F517" s="63"/>
      <c r="G517" s="17">
        <f aca="true" t="shared" si="42" ref="G517:L519">G518</f>
        <v>50</v>
      </c>
      <c r="H517" s="51">
        <f t="shared" si="42"/>
        <v>150</v>
      </c>
      <c r="I517" s="47">
        <f t="shared" si="42"/>
        <v>46.8</v>
      </c>
      <c r="J517" s="47">
        <f t="shared" si="42"/>
        <v>80</v>
      </c>
      <c r="K517" s="47">
        <f t="shared" si="42"/>
        <v>-20</v>
      </c>
      <c r="L517" s="47">
        <f t="shared" si="42"/>
        <v>60</v>
      </c>
    </row>
    <row r="518" spans="1:12" ht="30.75" customHeight="1">
      <c r="A518" s="90" t="s">
        <v>332</v>
      </c>
      <c r="B518" s="64" t="s">
        <v>258</v>
      </c>
      <c r="C518" s="64" t="s">
        <v>34</v>
      </c>
      <c r="D518" s="64" t="s">
        <v>9</v>
      </c>
      <c r="E518" s="64" t="s">
        <v>104</v>
      </c>
      <c r="F518" s="64"/>
      <c r="G518" s="22">
        <f t="shared" si="42"/>
        <v>50</v>
      </c>
      <c r="H518" s="52">
        <f t="shared" si="42"/>
        <v>150</v>
      </c>
      <c r="I518" s="49">
        <f t="shared" si="42"/>
        <v>46.8</v>
      </c>
      <c r="J518" s="49">
        <f t="shared" si="42"/>
        <v>80</v>
      </c>
      <c r="K518" s="49">
        <f t="shared" si="42"/>
        <v>-20</v>
      </c>
      <c r="L518" s="49">
        <f t="shared" si="42"/>
        <v>60</v>
      </c>
    </row>
    <row r="519" spans="1:12" ht="23.25">
      <c r="A519" s="90" t="s">
        <v>98</v>
      </c>
      <c r="B519" s="64" t="s">
        <v>258</v>
      </c>
      <c r="C519" s="64" t="s">
        <v>34</v>
      </c>
      <c r="D519" s="64" t="s">
        <v>9</v>
      </c>
      <c r="E519" s="64" t="s">
        <v>105</v>
      </c>
      <c r="F519" s="64"/>
      <c r="G519" s="22">
        <f t="shared" si="42"/>
        <v>50</v>
      </c>
      <c r="H519" s="49">
        <f>H520+H521</f>
        <v>150</v>
      </c>
      <c r="I519" s="49">
        <f>I520+I521</f>
        <v>46.8</v>
      </c>
      <c r="J519" s="49">
        <f>J520+J521</f>
        <v>80</v>
      </c>
      <c r="K519" s="49">
        <f>K520+K521</f>
        <v>-20</v>
      </c>
      <c r="L519" s="49">
        <f>L520+L521</f>
        <v>60</v>
      </c>
    </row>
    <row r="520" spans="1:12" ht="34.5" hidden="1">
      <c r="A520" s="102" t="s">
        <v>156</v>
      </c>
      <c r="B520" s="64" t="s">
        <v>258</v>
      </c>
      <c r="C520" s="64" t="s">
        <v>34</v>
      </c>
      <c r="D520" s="64" t="s">
        <v>9</v>
      </c>
      <c r="E520" s="64" t="s">
        <v>105</v>
      </c>
      <c r="F520" s="64" t="s">
        <v>157</v>
      </c>
      <c r="G520" s="22">
        <v>50</v>
      </c>
      <c r="H520" s="52">
        <v>50</v>
      </c>
      <c r="I520" s="49">
        <v>-50</v>
      </c>
      <c r="J520" s="49">
        <f>H520+I520</f>
        <v>0</v>
      </c>
      <c r="K520" s="49"/>
      <c r="L520" s="49">
        <f>J520+K520</f>
        <v>0</v>
      </c>
    </row>
    <row r="521" spans="1:12" ht="22.5" customHeight="1">
      <c r="A521" s="79" t="s">
        <v>499</v>
      </c>
      <c r="B521" s="64" t="s">
        <v>258</v>
      </c>
      <c r="C521" s="64" t="s">
        <v>34</v>
      </c>
      <c r="D521" s="64" t="s">
        <v>9</v>
      </c>
      <c r="E521" s="64" t="s">
        <v>105</v>
      </c>
      <c r="F521" s="64" t="s">
        <v>147</v>
      </c>
      <c r="G521" s="22"/>
      <c r="H521" s="52">
        <v>100</v>
      </c>
      <c r="I521" s="49">
        <v>96.8</v>
      </c>
      <c r="J521" s="49">
        <v>80</v>
      </c>
      <c r="K521" s="49">
        <v>-20</v>
      </c>
      <c r="L521" s="49">
        <f>J521+K521</f>
        <v>60</v>
      </c>
    </row>
    <row r="522" spans="1:12" ht="17.25" customHeight="1">
      <c r="A522" s="93" t="s">
        <v>95</v>
      </c>
      <c r="B522" s="63" t="s">
        <v>258</v>
      </c>
      <c r="C522" s="63" t="s">
        <v>28</v>
      </c>
      <c r="D522" s="63"/>
      <c r="E522" s="63"/>
      <c r="F522" s="63"/>
      <c r="G522" s="17"/>
      <c r="H522" s="51">
        <f>H527+H523</f>
        <v>0</v>
      </c>
      <c r="I522" s="51">
        <f>I527+I523</f>
        <v>500</v>
      </c>
      <c r="J522" s="51">
        <f>J527+J523</f>
        <v>500</v>
      </c>
      <c r="K522" s="51">
        <f>K527+K523</f>
        <v>-15</v>
      </c>
      <c r="L522" s="51">
        <f>L527+L523</f>
        <v>485</v>
      </c>
    </row>
    <row r="523" spans="1:12" ht="17.25" customHeight="1" hidden="1">
      <c r="A523" s="79" t="s">
        <v>56</v>
      </c>
      <c r="B523" s="64" t="s">
        <v>258</v>
      </c>
      <c r="C523" s="64" t="s">
        <v>28</v>
      </c>
      <c r="D523" s="64" t="s">
        <v>7</v>
      </c>
      <c r="E523" s="64"/>
      <c r="F523" s="64"/>
      <c r="G523" s="22"/>
      <c r="H523" s="52">
        <f>H524</f>
        <v>0</v>
      </c>
      <c r="I523" s="52">
        <f>I524</f>
        <v>0</v>
      </c>
      <c r="J523" s="52">
        <f>J524</f>
        <v>0</v>
      </c>
      <c r="K523" s="52">
        <f>K524</f>
        <v>0</v>
      </c>
      <c r="L523" s="52">
        <f>L524</f>
        <v>0</v>
      </c>
    </row>
    <row r="524" spans="1:12" ht="21.75" customHeight="1" hidden="1">
      <c r="A524" s="90" t="s">
        <v>293</v>
      </c>
      <c r="B524" s="64" t="s">
        <v>258</v>
      </c>
      <c r="C524" s="64" t="s">
        <v>28</v>
      </c>
      <c r="D524" s="64" t="s">
        <v>7</v>
      </c>
      <c r="E524" s="64" t="s">
        <v>294</v>
      </c>
      <c r="F524" s="64"/>
      <c r="G524" s="22"/>
      <c r="H524" s="52">
        <f>H526+H525</f>
        <v>0</v>
      </c>
      <c r="I524" s="52">
        <f>I526+I525</f>
        <v>0</v>
      </c>
      <c r="J524" s="52">
        <f>J526+J525</f>
        <v>0</v>
      </c>
      <c r="K524" s="52">
        <f>K526+K525</f>
        <v>0</v>
      </c>
      <c r="L524" s="52">
        <f>L526+L525</f>
        <v>0</v>
      </c>
    </row>
    <row r="525" spans="1:12" ht="21.75" customHeight="1" hidden="1">
      <c r="A525" s="79" t="s">
        <v>469</v>
      </c>
      <c r="B525" s="64" t="s">
        <v>258</v>
      </c>
      <c r="C525" s="64" t="s">
        <v>28</v>
      </c>
      <c r="D525" s="64" t="s">
        <v>7</v>
      </c>
      <c r="E525" s="64" t="s">
        <v>294</v>
      </c>
      <c r="F525" s="64" t="s">
        <v>468</v>
      </c>
      <c r="G525" s="22"/>
      <c r="H525" s="52"/>
      <c r="I525" s="52"/>
      <c r="J525" s="52">
        <f>H525+I525</f>
        <v>0</v>
      </c>
      <c r="K525" s="52"/>
      <c r="L525" s="52">
        <f>J525+K525</f>
        <v>0</v>
      </c>
    </row>
    <row r="526" spans="1:12" ht="17.25" customHeight="1" hidden="1">
      <c r="A526" s="90" t="s">
        <v>310</v>
      </c>
      <c r="B526" s="64" t="s">
        <v>258</v>
      </c>
      <c r="C526" s="64" t="s">
        <v>28</v>
      </c>
      <c r="D526" s="64" t="s">
        <v>7</v>
      </c>
      <c r="E526" s="64" t="s">
        <v>294</v>
      </c>
      <c r="F526" s="64" t="s">
        <v>311</v>
      </c>
      <c r="G526" s="22"/>
      <c r="H526" s="52"/>
      <c r="I526" s="52"/>
      <c r="J526" s="52">
        <f>H526+I526</f>
        <v>0</v>
      </c>
      <c r="K526" s="52"/>
      <c r="L526" s="52">
        <f>J526+K526</f>
        <v>0</v>
      </c>
    </row>
    <row r="527" spans="1:12" ht="17.25" customHeight="1">
      <c r="A527" s="76" t="s">
        <v>59</v>
      </c>
      <c r="B527" s="64" t="s">
        <v>258</v>
      </c>
      <c r="C527" s="64" t="s">
        <v>28</v>
      </c>
      <c r="D527" s="64" t="s">
        <v>28</v>
      </c>
      <c r="E527" s="64"/>
      <c r="F527" s="64"/>
      <c r="G527" s="22"/>
      <c r="H527" s="52">
        <f aca="true" t="shared" si="43" ref="H527:L528">H528</f>
        <v>0</v>
      </c>
      <c r="I527" s="52">
        <f t="shared" si="43"/>
        <v>500</v>
      </c>
      <c r="J527" s="52">
        <f t="shared" si="43"/>
        <v>500</v>
      </c>
      <c r="K527" s="52">
        <f t="shared" si="43"/>
        <v>-15</v>
      </c>
      <c r="L527" s="52">
        <f t="shared" si="43"/>
        <v>485</v>
      </c>
    </row>
    <row r="528" spans="1:12" ht="17.25" customHeight="1">
      <c r="A528" s="90" t="s">
        <v>312</v>
      </c>
      <c r="B528" s="64" t="s">
        <v>258</v>
      </c>
      <c r="C528" s="64" t="s">
        <v>28</v>
      </c>
      <c r="D528" s="64" t="s">
        <v>28</v>
      </c>
      <c r="E528" s="64" t="s">
        <v>252</v>
      </c>
      <c r="F528" s="64"/>
      <c r="G528" s="22"/>
      <c r="H528" s="52">
        <f t="shared" si="43"/>
        <v>0</v>
      </c>
      <c r="I528" s="52">
        <f t="shared" si="43"/>
        <v>500</v>
      </c>
      <c r="J528" s="52">
        <f t="shared" si="43"/>
        <v>500</v>
      </c>
      <c r="K528" s="52">
        <f t="shared" si="43"/>
        <v>-15</v>
      </c>
      <c r="L528" s="52">
        <f t="shared" si="43"/>
        <v>485</v>
      </c>
    </row>
    <row r="529" spans="1:12" ht="42" customHeight="1">
      <c r="A529" s="79" t="s">
        <v>380</v>
      </c>
      <c r="B529" s="64" t="s">
        <v>258</v>
      </c>
      <c r="C529" s="64" t="s">
        <v>28</v>
      </c>
      <c r="D529" s="64" t="s">
        <v>28</v>
      </c>
      <c r="E529" s="64" t="s">
        <v>381</v>
      </c>
      <c r="F529" s="64"/>
      <c r="G529" s="22"/>
      <c r="H529" s="52">
        <f>H530+H531</f>
        <v>0</v>
      </c>
      <c r="I529" s="52">
        <f>I530+I531</f>
        <v>500</v>
      </c>
      <c r="J529" s="52">
        <f>J530+J531</f>
        <v>500</v>
      </c>
      <c r="K529" s="52">
        <f>K530+K531</f>
        <v>-15</v>
      </c>
      <c r="L529" s="52">
        <f>L530+L531</f>
        <v>485</v>
      </c>
    </row>
    <row r="530" spans="1:12" ht="23.25" customHeight="1">
      <c r="A530" s="79" t="s">
        <v>499</v>
      </c>
      <c r="B530" s="64" t="s">
        <v>258</v>
      </c>
      <c r="C530" s="64" t="s">
        <v>28</v>
      </c>
      <c r="D530" s="64" t="s">
        <v>28</v>
      </c>
      <c r="E530" s="64" t="s">
        <v>381</v>
      </c>
      <c r="F530" s="64" t="s">
        <v>147</v>
      </c>
      <c r="G530" s="22"/>
      <c r="H530" s="52"/>
      <c r="I530" s="49">
        <v>500</v>
      </c>
      <c r="J530" s="49">
        <f>H530+I530</f>
        <v>500</v>
      </c>
      <c r="K530" s="49">
        <v>-15</v>
      </c>
      <c r="L530" s="49">
        <f>J530+K530</f>
        <v>485</v>
      </c>
    </row>
    <row r="531" spans="1:12" ht="38.25" customHeight="1" hidden="1">
      <c r="A531" s="79" t="s">
        <v>413</v>
      </c>
      <c r="B531" s="64" t="s">
        <v>258</v>
      </c>
      <c r="C531" s="64" t="s">
        <v>28</v>
      </c>
      <c r="D531" s="64" t="s">
        <v>28</v>
      </c>
      <c r="E531" s="64" t="s">
        <v>381</v>
      </c>
      <c r="F531" s="64" t="s">
        <v>412</v>
      </c>
      <c r="G531" s="22"/>
      <c r="H531" s="52"/>
      <c r="I531" s="49"/>
      <c r="J531" s="49">
        <f>H531+I531</f>
        <v>0</v>
      </c>
      <c r="K531" s="49"/>
      <c r="L531" s="49">
        <f>J531+K531</f>
        <v>0</v>
      </c>
    </row>
    <row r="532" spans="1:12" s="32" customFormat="1" ht="17.25" customHeight="1">
      <c r="A532" s="92" t="s">
        <v>62</v>
      </c>
      <c r="B532" s="63" t="s">
        <v>258</v>
      </c>
      <c r="C532" s="63" t="s">
        <v>61</v>
      </c>
      <c r="D532" s="63" t="s">
        <v>206</v>
      </c>
      <c r="E532" s="63"/>
      <c r="F532" s="63"/>
      <c r="G532" s="17"/>
      <c r="H532" s="47">
        <f>H536+H576+H542+H533</f>
        <v>1668.17</v>
      </c>
      <c r="I532" s="47">
        <f>I536+I576+I542+I533</f>
        <v>1787.33</v>
      </c>
      <c r="J532" s="47">
        <f>J536+J576+J542+J533+J563</f>
        <v>5531.827</v>
      </c>
      <c r="K532" s="47">
        <f>K536+K576+K542+K533+K563</f>
        <v>5191.963000000001</v>
      </c>
      <c r="L532" s="47">
        <f>L536+L576+L542+L533+L563</f>
        <v>10723.79</v>
      </c>
    </row>
    <row r="533" spans="1:12" s="32" customFormat="1" ht="17.25" customHeight="1">
      <c r="A533" s="90" t="s">
        <v>64</v>
      </c>
      <c r="B533" s="63" t="s">
        <v>258</v>
      </c>
      <c r="C533" s="63" t="s">
        <v>61</v>
      </c>
      <c r="D533" s="63" t="s">
        <v>6</v>
      </c>
      <c r="E533" s="63"/>
      <c r="F533" s="63"/>
      <c r="G533" s="17"/>
      <c r="H533" s="47">
        <f aca="true" t="shared" si="44" ref="H533:L534">H534</f>
        <v>45</v>
      </c>
      <c r="I533" s="47">
        <f t="shared" si="44"/>
        <v>78</v>
      </c>
      <c r="J533" s="47">
        <f t="shared" si="44"/>
        <v>123</v>
      </c>
      <c r="K533" s="47">
        <f t="shared" si="44"/>
        <v>-27.4</v>
      </c>
      <c r="L533" s="47">
        <f t="shared" si="44"/>
        <v>95.6</v>
      </c>
    </row>
    <row r="534" spans="1:12" s="32" customFormat="1" ht="26.25" customHeight="1">
      <c r="A534" s="90" t="s">
        <v>242</v>
      </c>
      <c r="B534" s="64" t="s">
        <v>258</v>
      </c>
      <c r="C534" s="64" t="s">
        <v>61</v>
      </c>
      <c r="D534" s="64" t="s">
        <v>6</v>
      </c>
      <c r="E534" s="64" t="s">
        <v>243</v>
      </c>
      <c r="F534" s="64"/>
      <c r="G534" s="17"/>
      <c r="H534" s="49">
        <f t="shared" si="44"/>
        <v>45</v>
      </c>
      <c r="I534" s="49">
        <f t="shared" si="44"/>
        <v>78</v>
      </c>
      <c r="J534" s="49">
        <f t="shared" si="44"/>
        <v>123</v>
      </c>
      <c r="K534" s="49">
        <f t="shared" si="44"/>
        <v>-27.4</v>
      </c>
      <c r="L534" s="49">
        <f t="shared" si="44"/>
        <v>95.6</v>
      </c>
    </row>
    <row r="535" spans="1:12" s="32" customFormat="1" ht="24" customHeight="1">
      <c r="A535" s="79" t="s">
        <v>334</v>
      </c>
      <c r="B535" s="64" t="s">
        <v>258</v>
      </c>
      <c r="C535" s="64" t="s">
        <v>61</v>
      </c>
      <c r="D535" s="64" t="s">
        <v>6</v>
      </c>
      <c r="E535" s="64" t="s">
        <v>243</v>
      </c>
      <c r="F535" s="64" t="s">
        <v>335</v>
      </c>
      <c r="G535" s="17"/>
      <c r="H535" s="49">
        <v>45</v>
      </c>
      <c r="I535" s="49">
        <v>78</v>
      </c>
      <c r="J535" s="49">
        <f>H535+I535</f>
        <v>123</v>
      </c>
      <c r="K535" s="49">
        <v>-27.4</v>
      </c>
      <c r="L535" s="49">
        <f>J535+K535</f>
        <v>95.6</v>
      </c>
    </row>
    <row r="536" spans="1:12" ht="18" customHeight="1" hidden="1">
      <c r="A536" s="103" t="s">
        <v>65</v>
      </c>
      <c r="B536" s="63" t="s">
        <v>258</v>
      </c>
      <c r="C536" s="63" t="s">
        <v>61</v>
      </c>
      <c r="D536" s="63" t="s">
        <v>7</v>
      </c>
      <c r="E536" s="63"/>
      <c r="F536" s="63"/>
      <c r="G536" s="17"/>
      <c r="H536" s="47">
        <f>H537</f>
        <v>363.57</v>
      </c>
      <c r="I536" s="47">
        <f>I537</f>
        <v>-363.57</v>
      </c>
      <c r="J536" s="47">
        <f>J537</f>
        <v>0</v>
      </c>
      <c r="K536" s="47">
        <f>K537</f>
        <v>0</v>
      </c>
      <c r="L536" s="47">
        <f>L537</f>
        <v>0</v>
      </c>
    </row>
    <row r="537" spans="1:12" ht="17.25" customHeight="1" hidden="1">
      <c r="A537" s="91" t="s">
        <v>98</v>
      </c>
      <c r="B537" s="64" t="s">
        <v>258</v>
      </c>
      <c r="C537" s="64" t="s">
        <v>61</v>
      </c>
      <c r="D537" s="64" t="s">
        <v>7</v>
      </c>
      <c r="E537" s="64" t="s">
        <v>244</v>
      </c>
      <c r="F537" s="64"/>
      <c r="G537" s="22"/>
      <c r="H537" s="49">
        <f>H538+H539+H540+H541</f>
        <v>363.57</v>
      </c>
      <c r="I537" s="49">
        <f>I538+I539+I540+I541</f>
        <v>-363.57</v>
      </c>
      <c r="J537" s="49">
        <f>J538+J539+J540+J541</f>
        <v>0</v>
      </c>
      <c r="K537" s="49">
        <f>K538+K539+K540+K541</f>
        <v>0</v>
      </c>
      <c r="L537" s="49">
        <f>L538+L539+L540+L541</f>
        <v>0</v>
      </c>
    </row>
    <row r="538" spans="1:12" ht="17.25" customHeight="1" hidden="1">
      <c r="A538" s="91" t="s">
        <v>96</v>
      </c>
      <c r="B538" s="64" t="s">
        <v>258</v>
      </c>
      <c r="C538" s="64" t="s">
        <v>61</v>
      </c>
      <c r="D538" s="64" t="s">
        <v>7</v>
      </c>
      <c r="E538" s="64" t="s">
        <v>244</v>
      </c>
      <c r="F538" s="64" t="s">
        <v>151</v>
      </c>
      <c r="G538" s="22"/>
      <c r="H538" s="52">
        <v>155.16</v>
      </c>
      <c r="I538" s="49">
        <v>-155.16</v>
      </c>
      <c r="J538" s="49">
        <f>H538+I538</f>
        <v>0</v>
      </c>
      <c r="K538" s="49"/>
      <c r="L538" s="49">
        <f>J538+K538</f>
        <v>0</v>
      </c>
    </row>
    <row r="539" spans="1:12" ht="17.25" customHeight="1" hidden="1">
      <c r="A539" s="79" t="s">
        <v>153</v>
      </c>
      <c r="B539" s="64" t="s">
        <v>258</v>
      </c>
      <c r="C539" s="64" t="s">
        <v>61</v>
      </c>
      <c r="D539" s="64" t="s">
        <v>7</v>
      </c>
      <c r="E539" s="64" t="s">
        <v>244</v>
      </c>
      <c r="F539" s="64" t="s">
        <v>154</v>
      </c>
      <c r="G539" s="22"/>
      <c r="H539" s="52">
        <v>1</v>
      </c>
      <c r="I539" s="49">
        <v>-1</v>
      </c>
      <c r="J539" s="49">
        <f>H539+I539</f>
        <v>0</v>
      </c>
      <c r="K539" s="49"/>
      <c r="L539" s="49">
        <f>J539+K539</f>
        <v>0</v>
      </c>
    </row>
    <row r="540" spans="1:12" ht="17.25" customHeight="1" hidden="1">
      <c r="A540" s="79" t="s">
        <v>145</v>
      </c>
      <c r="B540" s="64" t="s">
        <v>258</v>
      </c>
      <c r="C540" s="64" t="s">
        <v>61</v>
      </c>
      <c r="D540" s="64" t="s">
        <v>7</v>
      </c>
      <c r="E540" s="64" t="s">
        <v>244</v>
      </c>
      <c r="F540" s="64" t="s">
        <v>147</v>
      </c>
      <c r="G540" s="22"/>
      <c r="H540" s="52">
        <v>207.41</v>
      </c>
      <c r="I540" s="49">
        <v>-207.41</v>
      </c>
      <c r="J540" s="49">
        <f>H540+I540</f>
        <v>0</v>
      </c>
      <c r="K540" s="49"/>
      <c r="L540" s="49">
        <f>J540+K540</f>
        <v>0</v>
      </c>
    </row>
    <row r="541" spans="1:12" ht="24" customHeight="1" hidden="1">
      <c r="A541" s="82" t="s">
        <v>160</v>
      </c>
      <c r="B541" s="64" t="s">
        <v>258</v>
      </c>
      <c r="C541" s="64" t="s">
        <v>61</v>
      </c>
      <c r="D541" s="64" t="s">
        <v>7</v>
      </c>
      <c r="E541" s="64" t="s">
        <v>244</v>
      </c>
      <c r="F541" s="64" t="s">
        <v>161</v>
      </c>
      <c r="G541" s="22"/>
      <c r="H541" s="52"/>
      <c r="I541" s="49"/>
      <c r="J541" s="49">
        <f>H541+I541</f>
        <v>0</v>
      </c>
      <c r="K541" s="49"/>
      <c r="L541" s="49">
        <f>J541+K541</f>
        <v>0</v>
      </c>
    </row>
    <row r="542" spans="1:12" ht="17.25" customHeight="1">
      <c r="A542" s="92" t="s">
        <v>164</v>
      </c>
      <c r="B542" s="63" t="s">
        <v>258</v>
      </c>
      <c r="C542" s="63" t="s">
        <v>61</v>
      </c>
      <c r="D542" s="63" t="s">
        <v>8</v>
      </c>
      <c r="E542" s="63"/>
      <c r="F542" s="64"/>
      <c r="G542" s="22"/>
      <c r="H542" s="49">
        <f>H547+H559+H555+H557+H561</f>
        <v>1066</v>
      </c>
      <c r="I542" s="49">
        <f>I547+I559+I555+I557+I561</f>
        <v>2246.5</v>
      </c>
      <c r="J542" s="49">
        <f>J547+J559+J555+J557+J561+J543+J545</f>
        <v>4530.761</v>
      </c>
      <c r="K542" s="49">
        <f>K547+K559+K555+K557+K561+K543+K545</f>
        <v>4394.363</v>
      </c>
      <c r="L542" s="49">
        <f>L547+L559+L555+L557+L561+L543+L545</f>
        <v>8925.124</v>
      </c>
    </row>
    <row r="543" spans="1:12" ht="17.25" customHeight="1">
      <c r="A543" s="92" t="s">
        <v>532</v>
      </c>
      <c r="B543" s="64" t="s">
        <v>258</v>
      </c>
      <c r="C543" s="64" t="s">
        <v>61</v>
      </c>
      <c r="D543" s="64" t="s">
        <v>8</v>
      </c>
      <c r="E543" s="64" t="s">
        <v>531</v>
      </c>
      <c r="F543" s="64"/>
      <c r="G543" s="22"/>
      <c r="H543" s="49"/>
      <c r="I543" s="49"/>
      <c r="J543" s="49">
        <f>J544</f>
        <v>0</v>
      </c>
      <c r="K543" s="49">
        <f>K544</f>
        <v>2948.098</v>
      </c>
      <c r="L543" s="49">
        <f>L544</f>
        <v>2948.098</v>
      </c>
    </row>
    <row r="544" spans="1:12" ht="17.25" customHeight="1">
      <c r="A544" s="90" t="s">
        <v>337</v>
      </c>
      <c r="B544" s="64" t="s">
        <v>258</v>
      </c>
      <c r="C544" s="64" t="s">
        <v>61</v>
      </c>
      <c r="D544" s="64" t="s">
        <v>8</v>
      </c>
      <c r="E544" s="64" t="s">
        <v>531</v>
      </c>
      <c r="F544" s="64" t="s">
        <v>338</v>
      </c>
      <c r="G544" s="22"/>
      <c r="H544" s="49"/>
      <c r="I544" s="49"/>
      <c r="J544" s="49"/>
      <c r="K544" s="49">
        <v>2948.098</v>
      </c>
      <c r="L544" s="49">
        <f>J544+K544</f>
        <v>2948.098</v>
      </c>
    </row>
    <row r="545" spans="1:12" ht="17.25" customHeight="1">
      <c r="A545" s="91" t="s">
        <v>532</v>
      </c>
      <c r="B545" s="64" t="s">
        <v>258</v>
      </c>
      <c r="C545" s="64" t="s">
        <v>61</v>
      </c>
      <c r="D545" s="64" t="s">
        <v>8</v>
      </c>
      <c r="E545" s="64" t="s">
        <v>429</v>
      </c>
      <c r="F545" s="64"/>
      <c r="G545" s="22"/>
      <c r="H545" s="49"/>
      <c r="I545" s="49"/>
      <c r="J545" s="49">
        <f>J546</f>
        <v>0</v>
      </c>
      <c r="K545" s="49">
        <f>K546</f>
        <v>239.783</v>
      </c>
      <c r="L545" s="49">
        <f>L546</f>
        <v>239.783</v>
      </c>
    </row>
    <row r="546" spans="1:12" ht="17.25" customHeight="1">
      <c r="A546" s="90" t="s">
        <v>337</v>
      </c>
      <c r="B546" s="64" t="s">
        <v>258</v>
      </c>
      <c r="C546" s="64" t="s">
        <v>61</v>
      </c>
      <c r="D546" s="64" t="s">
        <v>8</v>
      </c>
      <c r="E546" s="64" t="s">
        <v>429</v>
      </c>
      <c r="F546" s="64" t="s">
        <v>338</v>
      </c>
      <c r="G546" s="22"/>
      <c r="H546" s="49"/>
      <c r="I546" s="49"/>
      <c r="J546" s="49"/>
      <c r="K546" s="49">
        <f>239.783</f>
        <v>239.783</v>
      </c>
      <c r="L546" s="49">
        <f>J546+K546</f>
        <v>239.783</v>
      </c>
    </row>
    <row r="547" spans="1:12" ht="17.25" customHeight="1">
      <c r="A547" s="91" t="s">
        <v>245</v>
      </c>
      <c r="B547" s="64" t="s">
        <v>258</v>
      </c>
      <c r="C547" s="64" t="s">
        <v>61</v>
      </c>
      <c r="D547" s="64" t="s">
        <v>8</v>
      </c>
      <c r="E547" s="64" t="s">
        <v>246</v>
      </c>
      <c r="F547" s="64"/>
      <c r="G547" s="22"/>
      <c r="H547" s="49">
        <f>H552+H548+H550</f>
        <v>966</v>
      </c>
      <c r="I547" s="49">
        <f>I552+I548+I550</f>
        <v>2046.5</v>
      </c>
      <c r="J547" s="49">
        <f>J552+J548+J550</f>
        <v>4022.0370000000003</v>
      </c>
      <c r="K547" s="49">
        <f>K552+K548+K550</f>
        <v>60</v>
      </c>
      <c r="L547" s="49">
        <f>L552+L548+L550</f>
        <v>4082.0370000000003</v>
      </c>
    </row>
    <row r="548" spans="1:12" ht="63.75" customHeight="1">
      <c r="A548" s="104" t="s">
        <v>369</v>
      </c>
      <c r="B548" s="64" t="s">
        <v>258</v>
      </c>
      <c r="C548" s="64" t="s">
        <v>61</v>
      </c>
      <c r="D548" s="64" t="s">
        <v>8</v>
      </c>
      <c r="E548" s="64" t="s">
        <v>370</v>
      </c>
      <c r="F548" s="64"/>
      <c r="G548" s="22"/>
      <c r="H548" s="49">
        <f>H549</f>
        <v>0</v>
      </c>
      <c r="I548" s="49">
        <f>I549</f>
        <v>1125</v>
      </c>
      <c r="J548" s="49">
        <f>J549</f>
        <v>1177.2</v>
      </c>
      <c r="K548" s="49">
        <f>K549</f>
        <v>0</v>
      </c>
      <c r="L548" s="49">
        <f>L549</f>
        <v>1177.2</v>
      </c>
    </row>
    <row r="549" spans="1:12" s="30" customFormat="1" ht="30.75" customHeight="1">
      <c r="A549" s="105" t="s">
        <v>172</v>
      </c>
      <c r="B549" s="73" t="s">
        <v>258</v>
      </c>
      <c r="C549" s="73" t="s">
        <v>61</v>
      </c>
      <c r="D549" s="73" t="s">
        <v>8</v>
      </c>
      <c r="E549" s="73" t="s">
        <v>370</v>
      </c>
      <c r="F549" s="73" t="s">
        <v>173</v>
      </c>
      <c r="G549" s="28"/>
      <c r="H549" s="49"/>
      <c r="I549" s="49">
        <v>1125</v>
      </c>
      <c r="J549" s="49">
        <v>1177.2</v>
      </c>
      <c r="K549" s="49"/>
      <c r="L549" s="49">
        <f>J549+K549</f>
        <v>1177.2</v>
      </c>
    </row>
    <row r="550" spans="1:12" ht="64.5" customHeight="1">
      <c r="A550" s="104" t="s">
        <v>371</v>
      </c>
      <c r="B550" s="64" t="s">
        <v>258</v>
      </c>
      <c r="C550" s="64" t="s">
        <v>61</v>
      </c>
      <c r="D550" s="64" t="s">
        <v>8</v>
      </c>
      <c r="E550" s="64" t="s">
        <v>247</v>
      </c>
      <c r="F550" s="64"/>
      <c r="G550" s="22"/>
      <c r="H550" s="49">
        <f>H551</f>
        <v>558</v>
      </c>
      <c r="I550" s="49">
        <f>I551</f>
        <v>1129.5</v>
      </c>
      <c r="J550" s="49">
        <f>J551</f>
        <v>1765.8</v>
      </c>
      <c r="K550" s="49">
        <f>K551</f>
        <v>0</v>
      </c>
      <c r="L550" s="49">
        <f>L551</f>
        <v>1765.8</v>
      </c>
    </row>
    <row r="551" spans="1:12" ht="25.5" customHeight="1">
      <c r="A551" s="91" t="s">
        <v>172</v>
      </c>
      <c r="B551" s="64" t="s">
        <v>258</v>
      </c>
      <c r="C551" s="64" t="s">
        <v>61</v>
      </c>
      <c r="D551" s="64" t="s">
        <v>8</v>
      </c>
      <c r="E551" s="64" t="s">
        <v>247</v>
      </c>
      <c r="F551" s="64" t="s">
        <v>173</v>
      </c>
      <c r="G551" s="22"/>
      <c r="H551" s="49">
        <v>558</v>
      </c>
      <c r="I551" s="49">
        <v>1129.5</v>
      </c>
      <c r="J551" s="49">
        <v>1765.8</v>
      </c>
      <c r="K551" s="49"/>
      <c r="L551" s="49">
        <f>J551+K551</f>
        <v>1765.8</v>
      </c>
    </row>
    <row r="552" spans="1:12" ht="17.25" customHeight="1">
      <c r="A552" s="90" t="s">
        <v>248</v>
      </c>
      <c r="B552" s="64" t="s">
        <v>258</v>
      </c>
      <c r="C552" s="64" t="s">
        <v>61</v>
      </c>
      <c r="D552" s="64" t="s">
        <v>8</v>
      </c>
      <c r="E552" s="64" t="s">
        <v>249</v>
      </c>
      <c r="F552" s="64"/>
      <c r="G552" s="22"/>
      <c r="H552" s="49">
        <f>H553+H554</f>
        <v>408</v>
      </c>
      <c r="I552" s="49">
        <f>I553+I554</f>
        <v>-208</v>
      </c>
      <c r="J552" s="49">
        <f>J553+J554</f>
        <v>1079.037</v>
      </c>
      <c r="K552" s="49">
        <f>K553+K554</f>
        <v>60</v>
      </c>
      <c r="L552" s="49">
        <f>L553+L554</f>
        <v>1139.037</v>
      </c>
    </row>
    <row r="553" spans="1:12" ht="24" customHeight="1">
      <c r="A553" s="79" t="s">
        <v>485</v>
      </c>
      <c r="B553" s="64" t="s">
        <v>258</v>
      </c>
      <c r="C553" s="64" t="s">
        <v>61</v>
      </c>
      <c r="D553" s="64" t="s">
        <v>8</v>
      </c>
      <c r="E553" s="64" t="s">
        <v>249</v>
      </c>
      <c r="F553" s="64" t="s">
        <v>179</v>
      </c>
      <c r="G553" s="22"/>
      <c r="H553" s="52">
        <v>408</v>
      </c>
      <c r="I553" s="49">
        <v>-208</v>
      </c>
      <c r="J553" s="49">
        <v>643</v>
      </c>
      <c r="K553" s="49">
        <v>60</v>
      </c>
      <c r="L553" s="49">
        <f>J553+K553</f>
        <v>703</v>
      </c>
    </row>
    <row r="554" spans="1:12" ht="17.25" customHeight="1">
      <c r="A554" s="90" t="s">
        <v>337</v>
      </c>
      <c r="B554" s="64" t="s">
        <v>258</v>
      </c>
      <c r="C554" s="64" t="s">
        <v>61</v>
      </c>
      <c r="D554" s="64" t="s">
        <v>8</v>
      </c>
      <c r="E554" s="64" t="s">
        <v>386</v>
      </c>
      <c r="F554" s="64" t="s">
        <v>338</v>
      </c>
      <c r="G554" s="22"/>
      <c r="H554" s="52"/>
      <c r="I554" s="49"/>
      <c r="J554" s="49">
        <v>436.037</v>
      </c>
      <c r="K554" s="49"/>
      <c r="L554" s="49">
        <f>J554+K554</f>
        <v>436.037</v>
      </c>
    </row>
    <row r="555" spans="1:12" ht="30" customHeight="1">
      <c r="A555" s="79" t="s">
        <v>533</v>
      </c>
      <c r="B555" s="64" t="s">
        <v>258</v>
      </c>
      <c r="C555" s="64" t="s">
        <v>61</v>
      </c>
      <c r="D555" s="64" t="s">
        <v>8</v>
      </c>
      <c r="E555" s="64" t="s">
        <v>320</v>
      </c>
      <c r="F555" s="64"/>
      <c r="G555" s="22"/>
      <c r="H555" s="52">
        <f>H556</f>
        <v>0</v>
      </c>
      <c r="I555" s="52">
        <f>I556</f>
        <v>0</v>
      </c>
      <c r="J555" s="52">
        <f>J556</f>
        <v>0</v>
      </c>
      <c r="K555" s="52">
        <f>K556</f>
        <v>1146.482</v>
      </c>
      <c r="L555" s="52">
        <f>L556</f>
        <v>1146.482</v>
      </c>
    </row>
    <row r="556" spans="1:12" ht="21" customHeight="1">
      <c r="A556" s="90" t="s">
        <v>337</v>
      </c>
      <c r="B556" s="64" t="s">
        <v>258</v>
      </c>
      <c r="C556" s="64" t="s">
        <v>61</v>
      </c>
      <c r="D556" s="64" t="s">
        <v>8</v>
      </c>
      <c r="E556" s="64" t="s">
        <v>320</v>
      </c>
      <c r="F556" s="64" t="s">
        <v>338</v>
      </c>
      <c r="G556" s="22"/>
      <c r="H556" s="52"/>
      <c r="I556" s="49"/>
      <c r="J556" s="49"/>
      <c r="K556" s="49">
        <v>1146.482</v>
      </c>
      <c r="L556" s="49">
        <f>J556+K556</f>
        <v>1146.482</v>
      </c>
    </row>
    <row r="557" spans="1:12" ht="36.75" customHeight="1">
      <c r="A557" s="79" t="s">
        <v>437</v>
      </c>
      <c r="B557" s="64" t="s">
        <v>258</v>
      </c>
      <c r="C557" s="64" t="s">
        <v>61</v>
      </c>
      <c r="D557" s="64" t="s">
        <v>8</v>
      </c>
      <c r="E557" s="64" t="s">
        <v>430</v>
      </c>
      <c r="F557" s="64"/>
      <c r="G557" s="22"/>
      <c r="H557" s="52">
        <f>H558</f>
        <v>0</v>
      </c>
      <c r="I557" s="52">
        <f>I558</f>
        <v>0</v>
      </c>
      <c r="J557" s="52">
        <f>J558</f>
        <v>208.724</v>
      </c>
      <c r="K557" s="52">
        <f>K558</f>
        <v>0</v>
      </c>
      <c r="L557" s="52">
        <f>L558</f>
        <v>208.724</v>
      </c>
    </row>
    <row r="558" spans="1:12" ht="17.25" customHeight="1">
      <c r="A558" s="90" t="s">
        <v>337</v>
      </c>
      <c r="B558" s="64" t="s">
        <v>258</v>
      </c>
      <c r="C558" s="64" t="s">
        <v>61</v>
      </c>
      <c r="D558" s="64" t="s">
        <v>8</v>
      </c>
      <c r="E558" s="64" t="s">
        <v>430</v>
      </c>
      <c r="F558" s="64" t="s">
        <v>338</v>
      </c>
      <c r="G558" s="22"/>
      <c r="H558" s="52"/>
      <c r="I558" s="49"/>
      <c r="J558" s="49">
        <v>208.724</v>
      </c>
      <c r="K558" s="49"/>
      <c r="L558" s="49">
        <f>J558+K558</f>
        <v>208.724</v>
      </c>
    </row>
    <row r="559" spans="1:12" ht="34.5">
      <c r="A559" s="90" t="s">
        <v>374</v>
      </c>
      <c r="B559" s="64" t="s">
        <v>258</v>
      </c>
      <c r="C559" s="64" t="s">
        <v>61</v>
      </c>
      <c r="D559" s="64" t="s">
        <v>8</v>
      </c>
      <c r="E559" s="64" t="s">
        <v>336</v>
      </c>
      <c r="F559" s="64"/>
      <c r="G559" s="22"/>
      <c r="H559" s="49">
        <f>H560</f>
        <v>100</v>
      </c>
      <c r="I559" s="49">
        <f>I560</f>
        <v>200</v>
      </c>
      <c r="J559" s="49">
        <f>J560</f>
        <v>300</v>
      </c>
      <c r="K559" s="49">
        <f>K560</f>
        <v>0</v>
      </c>
      <c r="L559" s="49">
        <f>L560</f>
        <v>300</v>
      </c>
    </row>
    <row r="560" spans="1:12" ht="18" customHeight="1">
      <c r="A560" s="90" t="s">
        <v>337</v>
      </c>
      <c r="B560" s="64" t="s">
        <v>258</v>
      </c>
      <c r="C560" s="64" t="s">
        <v>61</v>
      </c>
      <c r="D560" s="64" t="s">
        <v>8</v>
      </c>
      <c r="E560" s="64" t="s">
        <v>336</v>
      </c>
      <c r="F560" s="64" t="s">
        <v>338</v>
      </c>
      <c r="G560" s="22"/>
      <c r="H560" s="52">
        <v>100</v>
      </c>
      <c r="I560" s="49">
        <v>200</v>
      </c>
      <c r="J560" s="49">
        <f>H560+I560</f>
        <v>300</v>
      </c>
      <c r="K560" s="49"/>
      <c r="L560" s="49">
        <f>J560+K560</f>
        <v>300</v>
      </c>
    </row>
    <row r="561" spans="1:12" ht="29.25" customHeight="1" hidden="1">
      <c r="A561" s="79" t="s">
        <v>380</v>
      </c>
      <c r="B561" s="64" t="s">
        <v>258</v>
      </c>
      <c r="C561" s="64" t="s">
        <v>61</v>
      </c>
      <c r="D561" s="64" t="s">
        <v>8</v>
      </c>
      <c r="E561" s="64" t="s">
        <v>381</v>
      </c>
      <c r="F561" s="64"/>
      <c r="G561" s="22"/>
      <c r="H561" s="52">
        <f>H562</f>
        <v>0</v>
      </c>
      <c r="I561" s="52">
        <f>I562</f>
        <v>0</v>
      </c>
      <c r="J561" s="52">
        <f>J562</f>
        <v>0</v>
      </c>
      <c r="K561" s="52">
        <f>K562</f>
        <v>0</v>
      </c>
      <c r="L561" s="52">
        <f>L562</f>
        <v>0</v>
      </c>
    </row>
    <row r="562" spans="1:12" ht="29.25" customHeight="1" hidden="1">
      <c r="A562" s="90" t="s">
        <v>337</v>
      </c>
      <c r="B562" s="64" t="s">
        <v>258</v>
      </c>
      <c r="C562" s="64" t="s">
        <v>61</v>
      </c>
      <c r="D562" s="64" t="s">
        <v>8</v>
      </c>
      <c r="E562" s="64" t="s">
        <v>381</v>
      </c>
      <c r="F562" s="64" t="s">
        <v>338</v>
      </c>
      <c r="G562" s="22"/>
      <c r="H562" s="52"/>
      <c r="I562" s="49"/>
      <c r="J562" s="49">
        <f>H562+I562</f>
        <v>0</v>
      </c>
      <c r="K562" s="49"/>
      <c r="L562" s="49">
        <f>J562+K562</f>
        <v>0</v>
      </c>
    </row>
    <row r="563" spans="1:12" ht="15">
      <c r="A563" s="76" t="s">
        <v>170</v>
      </c>
      <c r="B563" s="63" t="s">
        <v>258</v>
      </c>
      <c r="C563" s="63" t="s">
        <v>61</v>
      </c>
      <c r="D563" s="63" t="s">
        <v>9</v>
      </c>
      <c r="E563" s="63"/>
      <c r="F563" s="63"/>
      <c r="G563" s="18" t="e">
        <f>#REF!+#REF!+#REF!+#REF!</f>
        <v>#REF!</v>
      </c>
      <c r="H563" s="47" t="e">
        <f>H564+#REF!</f>
        <v>#REF!</v>
      </c>
      <c r="I563" s="47" t="e">
        <f>I564+#REF!</f>
        <v>#REF!</v>
      </c>
      <c r="J563" s="47">
        <f>J564</f>
        <v>858.066</v>
      </c>
      <c r="K563" s="47">
        <f>K564</f>
        <v>825</v>
      </c>
      <c r="L563" s="47">
        <f>L564</f>
        <v>1683.066</v>
      </c>
    </row>
    <row r="564" spans="1:12" ht="15">
      <c r="A564" s="74" t="s">
        <v>245</v>
      </c>
      <c r="B564" s="64" t="s">
        <v>258</v>
      </c>
      <c r="C564" s="64" t="s">
        <v>61</v>
      </c>
      <c r="D564" s="64" t="s">
        <v>9</v>
      </c>
      <c r="E564" s="64" t="s">
        <v>246</v>
      </c>
      <c r="F564" s="64"/>
      <c r="G564" s="21"/>
      <c r="H564" s="49">
        <f>H565+H572</f>
        <v>3432</v>
      </c>
      <c r="I564" s="49">
        <f>I565+I572</f>
        <v>4462</v>
      </c>
      <c r="J564" s="49">
        <f>J565+J572+J569+J567+J574</f>
        <v>858.066</v>
      </c>
      <c r="K564" s="49">
        <f>K565+K572+K569+K567+K574</f>
        <v>825</v>
      </c>
      <c r="L564" s="49">
        <f>L565+L572+L569+L567+L574</f>
        <v>1683.066</v>
      </c>
    </row>
    <row r="565" spans="1:12" ht="46.5" customHeight="1" hidden="1">
      <c r="A565" s="77" t="s">
        <v>165</v>
      </c>
      <c r="B565" s="64" t="s">
        <v>258</v>
      </c>
      <c r="C565" s="64" t="s">
        <v>61</v>
      </c>
      <c r="D565" s="64" t="s">
        <v>9</v>
      </c>
      <c r="E565" s="64" t="s">
        <v>171</v>
      </c>
      <c r="F565" s="64"/>
      <c r="G565" s="22"/>
      <c r="H565" s="49">
        <f>H566</f>
        <v>3432</v>
      </c>
      <c r="I565" s="49">
        <f>I566</f>
        <v>4337</v>
      </c>
      <c r="J565" s="49">
        <f>J566</f>
        <v>0</v>
      </c>
      <c r="K565" s="49">
        <f>K566</f>
        <v>0</v>
      </c>
      <c r="L565" s="49">
        <f>L566</f>
        <v>0</v>
      </c>
    </row>
    <row r="566" spans="1:12" ht="25.5" customHeight="1" hidden="1">
      <c r="A566" s="77" t="s">
        <v>172</v>
      </c>
      <c r="B566" s="64" t="s">
        <v>258</v>
      </c>
      <c r="C566" s="64" t="s">
        <v>61</v>
      </c>
      <c r="D566" s="64" t="s">
        <v>9</v>
      </c>
      <c r="E566" s="64" t="s">
        <v>171</v>
      </c>
      <c r="F566" s="64" t="s">
        <v>173</v>
      </c>
      <c r="G566" s="22"/>
      <c r="H566" s="49">
        <v>3432</v>
      </c>
      <c r="I566" s="49">
        <v>4337</v>
      </c>
      <c r="J566" s="49">
        <v>0</v>
      </c>
      <c r="K566" s="49"/>
      <c r="L566" s="49">
        <f>J566+K566</f>
        <v>0</v>
      </c>
    </row>
    <row r="567" spans="1:12" ht="49.5" customHeight="1">
      <c r="A567" s="77" t="s">
        <v>493</v>
      </c>
      <c r="B567" s="64" t="s">
        <v>258</v>
      </c>
      <c r="C567" s="64" t="s">
        <v>61</v>
      </c>
      <c r="D567" s="64" t="s">
        <v>9</v>
      </c>
      <c r="E567" s="64" t="s">
        <v>171</v>
      </c>
      <c r="F567" s="64"/>
      <c r="G567" s="22"/>
      <c r="H567" s="49"/>
      <c r="I567" s="49"/>
      <c r="J567" s="49">
        <f>J568</f>
        <v>0</v>
      </c>
      <c r="K567" s="49">
        <f>K568</f>
        <v>825</v>
      </c>
      <c r="L567" s="49">
        <f>L568</f>
        <v>825</v>
      </c>
    </row>
    <row r="568" spans="1:12" ht="34.5">
      <c r="A568" s="77" t="s">
        <v>494</v>
      </c>
      <c r="B568" s="64" t="s">
        <v>258</v>
      </c>
      <c r="C568" s="64" t="s">
        <v>61</v>
      </c>
      <c r="D568" s="64" t="s">
        <v>9</v>
      </c>
      <c r="E568" s="64" t="s">
        <v>171</v>
      </c>
      <c r="F568" s="64" t="s">
        <v>491</v>
      </c>
      <c r="G568" s="22"/>
      <c r="H568" s="49"/>
      <c r="I568" s="49"/>
      <c r="J568" s="49">
        <v>0</v>
      </c>
      <c r="K568" s="49">
        <v>825</v>
      </c>
      <c r="L568" s="49">
        <f>J568+K568</f>
        <v>825</v>
      </c>
    </row>
    <row r="569" spans="1:12" ht="25.5" customHeight="1">
      <c r="A569" s="77" t="s">
        <v>165</v>
      </c>
      <c r="B569" s="64" t="s">
        <v>258</v>
      </c>
      <c r="C569" s="64" t="s">
        <v>61</v>
      </c>
      <c r="D569" s="64" t="s">
        <v>9</v>
      </c>
      <c r="E569" s="64" t="s">
        <v>169</v>
      </c>
      <c r="F569" s="64"/>
      <c r="G569" s="22"/>
      <c r="H569" s="49"/>
      <c r="I569" s="49"/>
      <c r="J569" s="49">
        <f>J570+J571</f>
        <v>858.066</v>
      </c>
      <c r="K569" s="49">
        <f>K570+K571</f>
        <v>0</v>
      </c>
      <c r="L569" s="49">
        <f>L570+L571</f>
        <v>858.066</v>
      </c>
    </row>
    <row r="570" spans="1:12" ht="25.5" customHeight="1" hidden="1">
      <c r="A570" s="77" t="s">
        <v>172</v>
      </c>
      <c r="B570" s="64" t="s">
        <v>258</v>
      </c>
      <c r="C570" s="64" t="s">
        <v>61</v>
      </c>
      <c r="D570" s="64" t="s">
        <v>9</v>
      </c>
      <c r="E570" s="64" t="s">
        <v>169</v>
      </c>
      <c r="F570" s="64" t="s">
        <v>173</v>
      </c>
      <c r="G570" s="22"/>
      <c r="H570" s="49"/>
      <c r="I570" s="49"/>
      <c r="J570" s="49">
        <v>0</v>
      </c>
      <c r="K570" s="49"/>
      <c r="L570" s="49">
        <f>J570+K570</f>
        <v>0</v>
      </c>
    </row>
    <row r="571" spans="1:12" ht="25.5" customHeight="1">
      <c r="A571" s="96" t="s">
        <v>519</v>
      </c>
      <c r="B571" s="64" t="s">
        <v>258</v>
      </c>
      <c r="C571" s="64" t="s">
        <v>61</v>
      </c>
      <c r="D571" s="64" t="s">
        <v>9</v>
      </c>
      <c r="E571" s="64" t="s">
        <v>169</v>
      </c>
      <c r="F571" s="64" t="s">
        <v>491</v>
      </c>
      <c r="G571" s="22"/>
      <c r="H571" s="49"/>
      <c r="I571" s="49"/>
      <c r="J571" s="49">
        <v>858.066</v>
      </c>
      <c r="K571" s="49"/>
      <c r="L571" s="49">
        <f>J571+K571</f>
        <v>858.066</v>
      </c>
    </row>
    <row r="572" spans="1:12" ht="43.5" customHeight="1" hidden="1">
      <c r="A572" s="79" t="s">
        <v>174</v>
      </c>
      <c r="B572" s="70" t="s">
        <v>258</v>
      </c>
      <c r="C572" s="70" t="s">
        <v>61</v>
      </c>
      <c r="D572" s="70" t="s">
        <v>9</v>
      </c>
      <c r="E572" s="70" t="s">
        <v>175</v>
      </c>
      <c r="F572" s="64"/>
      <c r="G572" s="22"/>
      <c r="H572" s="49">
        <f>H573</f>
        <v>0</v>
      </c>
      <c r="I572" s="49">
        <f>I573</f>
        <v>125</v>
      </c>
      <c r="J572" s="49">
        <f>J573</f>
        <v>0</v>
      </c>
      <c r="K572" s="49">
        <f>K573</f>
        <v>0</v>
      </c>
      <c r="L572" s="49">
        <f>L573</f>
        <v>0</v>
      </c>
    </row>
    <row r="573" spans="1:12" ht="25.5" customHeight="1" hidden="1">
      <c r="A573" s="77" t="s">
        <v>172</v>
      </c>
      <c r="B573" s="70" t="s">
        <v>258</v>
      </c>
      <c r="C573" s="70" t="s">
        <v>61</v>
      </c>
      <c r="D573" s="70" t="s">
        <v>9</v>
      </c>
      <c r="E573" s="70" t="s">
        <v>175</v>
      </c>
      <c r="F573" s="64" t="s">
        <v>173</v>
      </c>
      <c r="G573" s="22"/>
      <c r="H573" s="49"/>
      <c r="I573" s="49">
        <v>125</v>
      </c>
      <c r="J573" s="49">
        <v>0</v>
      </c>
      <c r="K573" s="49"/>
      <c r="L573" s="49">
        <f>J573+K573</f>
        <v>0</v>
      </c>
    </row>
    <row r="574" spans="1:12" ht="49.5" customHeight="1" hidden="1">
      <c r="A574" s="77" t="s">
        <v>495</v>
      </c>
      <c r="B574" s="70" t="s">
        <v>258</v>
      </c>
      <c r="C574" s="70" t="s">
        <v>61</v>
      </c>
      <c r="D574" s="70" t="s">
        <v>9</v>
      </c>
      <c r="E574" s="70" t="s">
        <v>492</v>
      </c>
      <c r="F574" s="64"/>
      <c r="G574" s="22"/>
      <c r="H574" s="49"/>
      <c r="I574" s="49"/>
      <c r="J574" s="49">
        <f>J575</f>
        <v>0</v>
      </c>
      <c r="K574" s="49">
        <f>K575</f>
        <v>0</v>
      </c>
      <c r="L574" s="49">
        <f>L575</f>
        <v>0</v>
      </c>
    </row>
    <row r="575" spans="1:12" ht="33.75" customHeight="1" hidden="1">
      <c r="A575" s="97" t="s">
        <v>494</v>
      </c>
      <c r="B575" s="70" t="s">
        <v>258</v>
      </c>
      <c r="C575" s="70" t="s">
        <v>61</v>
      </c>
      <c r="D575" s="70" t="s">
        <v>9</v>
      </c>
      <c r="E575" s="70" t="s">
        <v>492</v>
      </c>
      <c r="F575" s="64" t="s">
        <v>491</v>
      </c>
      <c r="G575" s="22"/>
      <c r="H575" s="49"/>
      <c r="I575" s="49"/>
      <c r="J575" s="49">
        <v>0</v>
      </c>
      <c r="K575" s="49"/>
      <c r="L575" s="49">
        <f>J575+K575</f>
        <v>0</v>
      </c>
    </row>
    <row r="576" spans="1:12" ht="20.25" customHeight="1">
      <c r="A576" s="106" t="s">
        <v>68</v>
      </c>
      <c r="B576" s="63" t="s">
        <v>258</v>
      </c>
      <c r="C576" s="63" t="s">
        <v>61</v>
      </c>
      <c r="D576" s="63" t="s">
        <v>12</v>
      </c>
      <c r="E576" s="63"/>
      <c r="F576" s="63"/>
      <c r="G576" s="22"/>
      <c r="H576" s="49">
        <f>H577+H582+H580</f>
        <v>193.6</v>
      </c>
      <c r="I576" s="49">
        <f>I577+I582+I580</f>
        <v>-173.6</v>
      </c>
      <c r="J576" s="49">
        <f>J577+J582+J580</f>
        <v>20</v>
      </c>
      <c r="K576" s="49">
        <f>K577+K582+K580</f>
        <v>0</v>
      </c>
      <c r="L576" s="49">
        <f>L577+L582+L580</f>
        <v>20</v>
      </c>
    </row>
    <row r="577" spans="1:12" ht="21" customHeight="1" hidden="1">
      <c r="A577" s="90" t="s">
        <v>250</v>
      </c>
      <c r="B577" s="64" t="s">
        <v>258</v>
      </c>
      <c r="C577" s="64" t="s">
        <v>61</v>
      </c>
      <c r="D577" s="64" t="s">
        <v>12</v>
      </c>
      <c r="E577" s="64" t="s">
        <v>115</v>
      </c>
      <c r="F577" s="64"/>
      <c r="G577" s="22"/>
      <c r="H577" s="49">
        <f aca="true" t="shared" si="45" ref="H577:L578">H578</f>
        <v>173.6</v>
      </c>
      <c r="I577" s="49">
        <f t="shared" si="45"/>
        <v>-173.6</v>
      </c>
      <c r="J577" s="49">
        <f t="shared" si="45"/>
        <v>0</v>
      </c>
      <c r="K577" s="49">
        <f t="shared" si="45"/>
        <v>0</v>
      </c>
      <c r="L577" s="49">
        <f t="shared" si="45"/>
        <v>0</v>
      </c>
    </row>
    <row r="578" spans="1:12" ht="17.25" customHeight="1" hidden="1">
      <c r="A578" s="90" t="s">
        <v>116</v>
      </c>
      <c r="B578" s="64" t="s">
        <v>258</v>
      </c>
      <c r="C578" s="64" t="s">
        <v>61</v>
      </c>
      <c r="D578" s="64" t="s">
        <v>12</v>
      </c>
      <c r="E578" s="64" t="s">
        <v>117</v>
      </c>
      <c r="F578" s="64"/>
      <c r="G578" s="22"/>
      <c r="H578" s="49">
        <f t="shared" si="45"/>
        <v>173.6</v>
      </c>
      <c r="I578" s="49">
        <f t="shared" si="45"/>
        <v>-173.6</v>
      </c>
      <c r="J578" s="49">
        <f t="shared" si="45"/>
        <v>0</v>
      </c>
      <c r="K578" s="49">
        <f t="shared" si="45"/>
        <v>0</v>
      </c>
      <c r="L578" s="49">
        <f t="shared" si="45"/>
        <v>0</v>
      </c>
    </row>
    <row r="579" spans="1:12" ht="17.25" customHeight="1" hidden="1">
      <c r="A579" s="90" t="s">
        <v>96</v>
      </c>
      <c r="B579" s="64" t="s">
        <v>258</v>
      </c>
      <c r="C579" s="64" t="s">
        <v>61</v>
      </c>
      <c r="D579" s="64" t="s">
        <v>12</v>
      </c>
      <c r="E579" s="64" t="s">
        <v>117</v>
      </c>
      <c r="F579" s="64" t="s">
        <v>151</v>
      </c>
      <c r="G579" s="22"/>
      <c r="H579" s="52">
        <v>173.6</v>
      </c>
      <c r="I579" s="49">
        <v>-173.6</v>
      </c>
      <c r="J579" s="49">
        <f>SUM(H579:I579)</f>
        <v>0</v>
      </c>
      <c r="K579" s="49"/>
      <c r="L579" s="49">
        <f>SUM(J579:K579)</f>
        <v>0</v>
      </c>
    </row>
    <row r="580" spans="1:12" ht="27" customHeight="1" hidden="1">
      <c r="A580" s="90" t="s">
        <v>442</v>
      </c>
      <c r="B580" s="64" t="s">
        <v>258</v>
      </c>
      <c r="C580" s="64" t="s">
        <v>61</v>
      </c>
      <c r="D580" s="64" t="s">
        <v>12</v>
      </c>
      <c r="E580" s="64" t="s">
        <v>254</v>
      </c>
      <c r="F580" s="64"/>
      <c r="G580" s="22"/>
      <c r="H580" s="52">
        <f>H581</f>
        <v>10</v>
      </c>
      <c r="I580" s="52">
        <f>I581</f>
        <v>-10</v>
      </c>
      <c r="J580" s="52">
        <f>J581</f>
        <v>0</v>
      </c>
      <c r="K580" s="52">
        <f>K581</f>
        <v>0</v>
      </c>
      <c r="L580" s="52">
        <f>L581</f>
        <v>0</v>
      </c>
    </row>
    <row r="581" spans="1:12" ht="17.25" customHeight="1" hidden="1">
      <c r="A581" s="79" t="s">
        <v>145</v>
      </c>
      <c r="B581" s="64" t="s">
        <v>258</v>
      </c>
      <c r="C581" s="64" t="s">
        <v>61</v>
      </c>
      <c r="D581" s="64" t="s">
        <v>12</v>
      </c>
      <c r="E581" s="64" t="s">
        <v>254</v>
      </c>
      <c r="F581" s="64" t="s">
        <v>147</v>
      </c>
      <c r="G581" s="22"/>
      <c r="H581" s="52">
        <v>10</v>
      </c>
      <c r="I581" s="49">
        <v>-10</v>
      </c>
      <c r="J581" s="49">
        <f>H581+I581</f>
        <v>0</v>
      </c>
      <c r="K581" s="49"/>
      <c r="L581" s="49">
        <f>J581+K581</f>
        <v>0</v>
      </c>
    </row>
    <row r="582" spans="1:12" ht="33" customHeight="1">
      <c r="A582" s="90" t="s">
        <v>255</v>
      </c>
      <c r="B582" s="64" t="s">
        <v>258</v>
      </c>
      <c r="C582" s="64" t="s">
        <v>61</v>
      </c>
      <c r="D582" s="64" t="s">
        <v>12</v>
      </c>
      <c r="E582" s="64" t="s">
        <v>256</v>
      </c>
      <c r="F582" s="64"/>
      <c r="G582" s="22"/>
      <c r="H582" s="52">
        <f>H583</f>
        <v>10</v>
      </c>
      <c r="I582" s="52">
        <f>I583</f>
        <v>10</v>
      </c>
      <c r="J582" s="52">
        <f>J583</f>
        <v>20</v>
      </c>
      <c r="K582" s="52">
        <f>K583</f>
        <v>0</v>
      </c>
      <c r="L582" s="52">
        <f>L583</f>
        <v>20</v>
      </c>
    </row>
    <row r="583" spans="1:12" ht="22.5" customHeight="1">
      <c r="A583" s="79" t="s">
        <v>499</v>
      </c>
      <c r="B583" s="64" t="s">
        <v>258</v>
      </c>
      <c r="C583" s="64" t="s">
        <v>61</v>
      </c>
      <c r="D583" s="64" t="s">
        <v>12</v>
      </c>
      <c r="E583" s="64" t="s">
        <v>256</v>
      </c>
      <c r="F583" s="64" t="s">
        <v>147</v>
      </c>
      <c r="G583" s="22"/>
      <c r="H583" s="52">
        <v>10</v>
      </c>
      <c r="I583" s="49">
        <v>10</v>
      </c>
      <c r="J583" s="49">
        <f>H583+I583</f>
        <v>20</v>
      </c>
      <c r="K583" s="49"/>
      <c r="L583" s="49">
        <f>J583+K583</f>
        <v>20</v>
      </c>
    </row>
    <row r="584" spans="1:12" ht="15.75" customHeight="1">
      <c r="A584" s="89" t="s">
        <v>71</v>
      </c>
      <c r="B584" s="63" t="s">
        <v>258</v>
      </c>
      <c r="C584" s="63" t="s">
        <v>17</v>
      </c>
      <c r="D584" s="63"/>
      <c r="E584" s="63"/>
      <c r="F584" s="63"/>
      <c r="G584" s="17"/>
      <c r="H584" s="51">
        <f>H585</f>
        <v>903.6</v>
      </c>
      <c r="I584" s="47">
        <f>I585</f>
        <v>230.42</v>
      </c>
      <c r="J584" s="47">
        <f>J585</f>
        <v>1202.02</v>
      </c>
      <c r="K584" s="47">
        <f>K585</f>
        <v>0</v>
      </c>
      <c r="L584" s="47">
        <f>L585</f>
        <v>1202.02</v>
      </c>
    </row>
    <row r="585" spans="1:12" ht="15">
      <c r="A585" s="89" t="s">
        <v>51</v>
      </c>
      <c r="B585" s="63" t="s">
        <v>258</v>
      </c>
      <c r="C585" s="63" t="s">
        <v>17</v>
      </c>
      <c r="D585" s="63" t="s">
        <v>7</v>
      </c>
      <c r="E585" s="63"/>
      <c r="F585" s="63"/>
      <c r="G585" s="17">
        <f>G586</f>
        <v>0</v>
      </c>
      <c r="H585" s="51">
        <f>H586+H591</f>
        <v>903.6</v>
      </c>
      <c r="I585" s="51">
        <f>I586+I591</f>
        <v>230.42</v>
      </c>
      <c r="J585" s="51">
        <f>J586+J591</f>
        <v>1202.02</v>
      </c>
      <c r="K585" s="51">
        <f>K586+K591</f>
        <v>0</v>
      </c>
      <c r="L585" s="51">
        <f>L586+L591</f>
        <v>1202.02</v>
      </c>
    </row>
    <row r="586" spans="1:12" ht="22.5" customHeight="1">
      <c r="A586" s="90" t="s">
        <v>327</v>
      </c>
      <c r="B586" s="64" t="s">
        <v>258</v>
      </c>
      <c r="C586" s="64" t="s">
        <v>17</v>
      </c>
      <c r="D586" s="64" t="s">
        <v>7</v>
      </c>
      <c r="E586" s="64" t="s">
        <v>328</v>
      </c>
      <c r="F586" s="64"/>
      <c r="G586" s="22">
        <f>G587</f>
        <v>0</v>
      </c>
      <c r="H586" s="49">
        <f>H587</f>
        <v>903.6</v>
      </c>
      <c r="I586" s="49">
        <f>I587</f>
        <v>230.42</v>
      </c>
      <c r="J586" s="49">
        <f>J587</f>
        <v>1202.02</v>
      </c>
      <c r="K586" s="49">
        <f>K587</f>
        <v>0</v>
      </c>
      <c r="L586" s="49">
        <f>L587</f>
        <v>1202.02</v>
      </c>
    </row>
    <row r="587" spans="1:12" ht="24.75" customHeight="1">
      <c r="A587" s="90" t="s">
        <v>329</v>
      </c>
      <c r="B587" s="64" t="s">
        <v>258</v>
      </c>
      <c r="C587" s="64" t="s">
        <v>17</v>
      </c>
      <c r="D587" s="64" t="s">
        <v>7</v>
      </c>
      <c r="E587" s="64" t="s">
        <v>330</v>
      </c>
      <c r="F587" s="64"/>
      <c r="G587" s="22">
        <f>G588</f>
        <v>0</v>
      </c>
      <c r="H587" s="49">
        <f>H588+H589</f>
        <v>903.6</v>
      </c>
      <c r="I587" s="49">
        <f>I588+I589</f>
        <v>230.42</v>
      </c>
      <c r="J587" s="49">
        <f>J589+J590</f>
        <v>1202.02</v>
      </c>
      <c r="K587" s="49">
        <f>K589+K590</f>
        <v>0</v>
      </c>
      <c r="L587" s="49">
        <f>L589+L590</f>
        <v>1202.02</v>
      </c>
    </row>
    <row r="588" spans="1:12" ht="16.5" customHeight="1" hidden="1">
      <c r="A588" s="90" t="s">
        <v>217</v>
      </c>
      <c r="B588" s="64" t="s">
        <v>258</v>
      </c>
      <c r="C588" s="64" t="s">
        <v>17</v>
      </c>
      <c r="D588" s="64" t="s">
        <v>7</v>
      </c>
      <c r="E588" s="64" t="s">
        <v>330</v>
      </c>
      <c r="F588" s="64" t="s">
        <v>218</v>
      </c>
      <c r="G588" s="22"/>
      <c r="H588" s="52"/>
      <c r="I588" s="49"/>
      <c r="J588" s="49">
        <f>H588+I588</f>
        <v>0</v>
      </c>
      <c r="K588" s="49"/>
      <c r="L588" s="49">
        <f>J588+K588</f>
        <v>0</v>
      </c>
    </row>
    <row r="589" spans="1:12" ht="16.5" customHeight="1" hidden="1">
      <c r="A589" s="90" t="s">
        <v>323</v>
      </c>
      <c r="B589" s="64" t="s">
        <v>258</v>
      </c>
      <c r="C589" s="64" t="s">
        <v>17</v>
      </c>
      <c r="D589" s="64" t="s">
        <v>7</v>
      </c>
      <c r="E589" s="64" t="s">
        <v>330</v>
      </c>
      <c r="F589" s="64" t="s">
        <v>324</v>
      </c>
      <c r="G589" s="22"/>
      <c r="H589" s="52">
        <v>903.6</v>
      </c>
      <c r="I589" s="49">
        <v>230.42</v>
      </c>
      <c r="J589" s="49">
        <v>0</v>
      </c>
      <c r="K589" s="49"/>
      <c r="L589" s="49">
        <f>J589+K589</f>
        <v>0</v>
      </c>
    </row>
    <row r="590" spans="1:12" ht="16.5" customHeight="1">
      <c r="A590" s="90" t="s">
        <v>323</v>
      </c>
      <c r="B590" s="64" t="s">
        <v>258</v>
      </c>
      <c r="C590" s="64" t="s">
        <v>17</v>
      </c>
      <c r="D590" s="64" t="s">
        <v>7</v>
      </c>
      <c r="E590" s="64" t="s">
        <v>330</v>
      </c>
      <c r="F590" s="64" t="s">
        <v>459</v>
      </c>
      <c r="G590" s="22"/>
      <c r="H590" s="52"/>
      <c r="I590" s="49"/>
      <c r="J590" s="49">
        <v>1202.02</v>
      </c>
      <c r="K590" s="49"/>
      <c r="L590" s="49">
        <f>J590+K590</f>
        <v>1202.02</v>
      </c>
    </row>
    <row r="591" spans="1:12" ht="27" customHeight="1" hidden="1">
      <c r="A591" s="90" t="s">
        <v>435</v>
      </c>
      <c r="B591" s="64" t="s">
        <v>258</v>
      </c>
      <c r="C591" s="64" t="s">
        <v>17</v>
      </c>
      <c r="D591" s="64" t="s">
        <v>7</v>
      </c>
      <c r="E591" s="64" t="s">
        <v>427</v>
      </c>
      <c r="F591" s="64"/>
      <c r="G591" s="22"/>
      <c r="H591" s="52">
        <f>H592</f>
        <v>0</v>
      </c>
      <c r="I591" s="52">
        <f>I592</f>
        <v>0</v>
      </c>
      <c r="J591" s="52">
        <f>J592</f>
        <v>0</v>
      </c>
      <c r="K591" s="52">
        <f>K592</f>
        <v>0</v>
      </c>
      <c r="L591" s="52">
        <f>L592</f>
        <v>0</v>
      </c>
    </row>
    <row r="592" spans="1:12" ht="24.75" customHeight="1" hidden="1">
      <c r="A592" s="90" t="s">
        <v>438</v>
      </c>
      <c r="B592" s="64" t="s">
        <v>258</v>
      </c>
      <c r="C592" s="64" t="s">
        <v>17</v>
      </c>
      <c r="D592" s="64" t="s">
        <v>7</v>
      </c>
      <c r="E592" s="64" t="s">
        <v>427</v>
      </c>
      <c r="F592" s="64" t="s">
        <v>428</v>
      </c>
      <c r="G592" s="22"/>
      <c r="H592" s="52"/>
      <c r="I592" s="49"/>
      <c r="J592" s="49">
        <f>H592+I592</f>
        <v>0</v>
      </c>
      <c r="K592" s="49"/>
      <c r="L592" s="49">
        <f>J592+K592</f>
        <v>0</v>
      </c>
    </row>
    <row r="593" spans="1:12" ht="15">
      <c r="A593" s="107" t="s">
        <v>339</v>
      </c>
      <c r="B593" s="68" t="s">
        <v>220</v>
      </c>
      <c r="C593" s="68"/>
      <c r="D593" s="68"/>
      <c r="E593" s="68"/>
      <c r="F593" s="68"/>
      <c r="G593" s="37" t="e">
        <f>G594+G608</f>
        <v>#REF!</v>
      </c>
      <c r="H593" s="48">
        <f>H594+H599+H608+H656+H649</f>
        <v>8602.869999999999</v>
      </c>
      <c r="I593" s="48">
        <f>I594+I599+I608+I656+I649</f>
        <v>2160.0034</v>
      </c>
      <c r="J593" s="48">
        <f>J594+J599+J608+J656+J649</f>
        <v>18668.64255</v>
      </c>
      <c r="K593" s="48">
        <f>K594+K599+K608+K656+K649</f>
        <v>300</v>
      </c>
      <c r="L593" s="48">
        <f>L594+L599+L608+L656+L649</f>
        <v>18968.642549999997</v>
      </c>
    </row>
    <row r="594" spans="1:12" s="31" customFormat="1" ht="14.25">
      <c r="A594" s="89" t="s">
        <v>4</v>
      </c>
      <c r="B594" s="63" t="s">
        <v>220</v>
      </c>
      <c r="C594" s="63" t="s">
        <v>6</v>
      </c>
      <c r="D594" s="63"/>
      <c r="E594" s="63"/>
      <c r="F594" s="63"/>
      <c r="G594" s="17" t="e">
        <f aca="true" t="shared" si="46" ref="G594:L597">G595</f>
        <v>#REF!</v>
      </c>
      <c r="H594" s="47">
        <f t="shared" si="46"/>
        <v>805</v>
      </c>
      <c r="I594" s="47">
        <f t="shared" si="46"/>
        <v>148.48</v>
      </c>
      <c r="J594" s="47">
        <f t="shared" si="46"/>
        <v>953.48</v>
      </c>
      <c r="K594" s="47">
        <f t="shared" si="46"/>
        <v>72.7234</v>
      </c>
      <c r="L594" s="47">
        <f t="shared" si="46"/>
        <v>1026.2034</v>
      </c>
    </row>
    <row r="595" spans="1:12" s="27" customFormat="1" ht="45">
      <c r="A595" s="90" t="s">
        <v>188</v>
      </c>
      <c r="B595" s="63" t="s">
        <v>220</v>
      </c>
      <c r="C595" s="63" t="s">
        <v>6</v>
      </c>
      <c r="D595" s="63" t="s">
        <v>9</v>
      </c>
      <c r="E595" s="63"/>
      <c r="F595" s="63"/>
      <c r="G595" s="17" t="e">
        <f t="shared" si="46"/>
        <v>#REF!</v>
      </c>
      <c r="H595" s="47">
        <f t="shared" si="46"/>
        <v>805</v>
      </c>
      <c r="I595" s="47">
        <f t="shared" si="46"/>
        <v>148.48</v>
      </c>
      <c r="J595" s="47">
        <f t="shared" si="46"/>
        <v>953.48</v>
      </c>
      <c r="K595" s="47">
        <f t="shared" si="46"/>
        <v>72.7234</v>
      </c>
      <c r="L595" s="47">
        <f t="shared" si="46"/>
        <v>1026.2034</v>
      </c>
    </row>
    <row r="596" spans="1:12" ht="23.25">
      <c r="A596" s="90" t="s">
        <v>250</v>
      </c>
      <c r="B596" s="64" t="s">
        <v>220</v>
      </c>
      <c r="C596" s="64" t="s">
        <v>6</v>
      </c>
      <c r="D596" s="64" t="s">
        <v>9</v>
      </c>
      <c r="E596" s="64" t="s">
        <v>115</v>
      </c>
      <c r="F596" s="64"/>
      <c r="G596" s="22" t="e">
        <f t="shared" si="46"/>
        <v>#REF!</v>
      </c>
      <c r="H596" s="49">
        <f t="shared" si="46"/>
        <v>805</v>
      </c>
      <c r="I596" s="49">
        <f t="shared" si="46"/>
        <v>148.48</v>
      </c>
      <c r="J596" s="49">
        <f t="shared" si="46"/>
        <v>953.48</v>
      </c>
      <c r="K596" s="49">
        <f t="shared" si="46"/>
        <v>72.7234</v>
      </c>
      <c r="L596" s="49">
        <f t="shared" si="46"/>
        <v>1026.2034</v>
      </c>
    </row>
    <row r="597" spans="1:12" ht="15">
      <c r="A597" s="90" t="s">
        <v>116</v>
      </c>
      <c r="B597" s="64" t="s">
        <v>220</v>
      </c>
      <c r="C597" s="64" t="s">
        <v>6</v>
      </c>
      <c r="D597" s="64" t="s">
        <v>9</v>
      </c>
      <c r="E597" s="64" t="s">
        <v>117</v>
      </c>
      <c r="F597" s="64"/>
      <c r="G597" s="22" t="e">
        <f>#REF!</f>
        <v>#REF!</v>
      </c>
      <c r="H597" s="49">
        <f>H598</f>
        <v>805</v>
      </c>
      <c r="I597" s="49">
        <f t="shared" si="46"/>
        <v>148.48</v>
      </c>
      <c r="J597" s="49">
        <f t="shared" si="46"/>
        <v>953.48</v>
      </c>
      <c r="K597" s="49">
        <f t="shared" si="46"/>
        <v>72.7234</v>
      </c>
      <c r="L597" s="49">
        <f t="shared" si="46"/>
        <v>1026.2034</v>
      </c>
    </row>
    <row r="598" spans="1:12" ht="15">
      <c r="A598" s="82" t="s">
        <v>340</v>
      </c>
      <c r="B598" s="64" t="s">
        <v>220</v>
      </c>
      <c r="C598" s="64" t="s">
        <v>6</v>
      </c>
      <c r="D598" s="64" t="s">
        <v>9</v>
      </c>
      <c r="E598" s="64" t="s">
        <v>117</v>
      </c>
      <c r="F598" s="64" t="s">
        <v>151</v>
      </c>
      <c r="G598" s="22"/>
      <c r="H598" s="49">
        <v>805</v>
      </c>
      <c r="I598" s="49">
        <v>148.48</v>
      </c>
      <c r="J598" s="49">
        <f>H598+I598</f>
        <v>953.48</v>
      </c>
      <c r="K598" s="49">
        <v>72.7234</v>
      </c>
      <c r="L598" s="49">
        <f>J598+K598</f>
        <v>1026.2034</v>
      </c>
    </row>
    <row r="599" spans="1:12" s="31" customFormat="1" ht="14.25">
      <c r="A599" s="101" t="s">
        <v>41</v>
      </c>
      <c r="B599" s="63" t="s">
        <v>220</v>
      </c>
      <c r="C599" s="63" t="s">
        <v>14</v>
      </c>
      <c r="D599" s="63"/>
      <c r="E599" s="63"/>
      <c r="F599" s="63"/>
      <c r="G599" s="17" t="e">
        <f>#REF!+#REF!+#REF!</f>
        <v>#REF!</v>
      </c>
      <c r="H599" s="47">
        <f>H600</f>
        <v>203.6</v>
      </c>
      <c r="I599" s="47">
        <f>I600</f>
        <v>135.67000000000002</v>
      </c>
      <c r="J599" s="47">
        <f>J600</f>
        <v>339.27</v>
      </c>
      <c r="K599" s="47">
        <f>K600</f>
        <v>0</v>
      </c>
      <c r="L599" s="47">
        <f>L600</f>
        <v>339.27</v>
      </c>
    </row>
    <row r="600" spans="1:12" s="27" customFormat="1" ht="14.25">
      <c r="A600" s="90" t="s">
        <v>46</v>
      </c>
      <c r="B600" s="63" t="s">
        <v>220</v>
      </c>
      <c r="C600" s="63" t="s">
        <v>14</v>
      </c>
      <c r="D600" s="63" t="s">
        <v>14</v>
      </c>
      <c r="E600" s="63"/>
      <c r="F600" s="63"/>
      <c r="G600" s="17" t="e">
        <f>#REF!</f>
        <v>#REF!</v>
      </c>
      <c r="H600" s="47">
        <f>H601+H604</f>
        <v>203.6</v>
      </c>
      <c r="I600" s="47">
        <f>I601+I604</f>
        <v>135.67000000000002</v>
      </c>
      <c r="J600" s="47">
        <f>J601+J604</f>
        <v>339.27</v>
      </c>
      <c r="K600" s="47">
        <f>K601+K604</f>
        <v>0</v>
      </c>
      <c r="L600" s="47">
        <f>L601+L604</f>
        <v>339.27</v>
      </c>
    </row>
    <row r="601" spans="1:12" ht="23.25">
      <c r="A601" s="90" t="s">
        <v>98</v>
      </c>
      <c r="B601" s="64" t="s">
        <v>220</v>
      </c>
      <c r="C601" s="64" t="s">
        <v>14</v>
      </c>
      <c r="D601" s="64" t="s">
        <v>14</v>
      </c>
      <c r="E601" s="64" t="s">
        <v>341</v>
      </c>
      <c r="F601" s="64"/>
      <c r="G601" s="22"/>
      <c r="H601" s="49">
        <f>H602</f>
        <v>137.6</v>
      </c>
      <c r="I601" s="49">
        <f>I602</f>
        <v>34.97</v>
      </c>
      <c r="J601" s="49">
        <f>J602</f>
        <v>172.57</v>
      </c>
      <c r="K601" s="49">
        <f>K602</f>
        <v>0</v>
      </c>
      <c r="L601" s="49">
        <f>L602</f>
        <v>172.57</v>
      </c>
    </row>
    <row r="602" spans="1:12" ht="15">
      <c r="A602" s="82" t="s">
        <v>340</v>
      </c>
      <c r="B602" s="64" t="s">
        <v>220</v>
      </c>
      <c r="C602" s="64" t="s">
        <v>14</v>
      </c>
      <c r="D602" s="64" t="s">
        <v>14</v>
      </c>
      <c r="E602" s="64" t="s">
        <v>341</v>
      </c>
      <c r="F602" s="64" t="s">
        <v>151</v>
      </c>
      <c r="G602" s="22"/>
      <c r="H602" s="49">
        <v>137.6</v>
      </c>
      <c r="I602" s="49">
        <v>34.97</v>
      </c>
      <c r="J602" s="49">
        <f>H602+I602</f>
        <v>172.57</v>
      </c>
      <c r="K602" s="49"/>
      <c r="L602" s="49">
        <f>J602+K602</f>
        <v>172.57</v>
      </c>
    </row>
    <row r="603" spans="1:12" ht="33.75" hidden="1">
      <c r="A603" s="79" t="s">
        <v>145</v>
      </c>
      <c r="B603" s="64" t="s">
        <v>220</v>
      </c>
      <c r="C603" s="64" t="s">
        <v>14</v>
      </c>
      <c r="D603" s="64" t="s">
        <v>14</v>
      </c>
      <c r="E603" s="64" t="s">
        <v>341</v>
      </c>
      <c r="F603" s="64" t="s">
        <v>147</v>
      </c>
      <c r="G603" s="22"/>
      <c r="H603" s="49"/>
      <c r="I603" s="49"/>
      <c r="J603" s="49"/>
      <c r="K603" s="49"/>
      <c r="L603" s="49"/>
    </row>
    <row r="604" spans="1:12" ht="15">
      <c r="A604" s="90" t="s">
        <v>251</v>
      </c>
      <c r="B604" s="64" t="s">
        <v>220</v>
      </c>
      <c r="C604" s="64" t="s">
        <v>14</v>
      </c>
      <c r="D604" s="64" t="s">
        <v>14</v>
      </c>
      <c r="E604" s="64" t="s">
        <v>252</v>
      </c>
      <c r="F604" s="64"/>
      <c r="G604" s="22"/>
      <c r="H604" s="49">
        <f>H605</f>
        <v>66</v>
      </c>
      <c r="I604" s="49">
        <f>I605</f>
        <v>100.7</v>
      </c>
      <c r="J604" s="49">
        <f>J605</f>
        <v>166.7</v>
      </c>
      <c r="K604" s="49">
        <f>K605</f>
        <v>0</v>
      </c>
      <c r="L604" s="49">
        <f>L605</f>
        <v>166.7</v>
      </c>
    </row>
    <row r="605" spans="1:12" ht="34.5">
      <c r="A605" s="90" t="s">
        <v>374</v>
      </c>
      <c r="B605" s="64" t="s">
        <v>220</v>
      </c>
      <c r="C605" s="64" t="s">
        <v>14</v>
      </c>
      <c r="D605" s="64" t="s">
        <v>14</v>
      </c>
      <c r="E605" s="64" t="s">
        <v>336</v>
      </c>
      <c r="F605" s="64"/>
      <c r="G605" s="22"/>
      <c r="H605" s="49">
        <f>H606+H607</f>
        <v>66</v>
      </c>
      <c r="I605" s="49">
        <f>I606+I607</f>
        <v>100.7</v>
      </c>
      <c r="J605" s="49">
        <f>J606+J607</f>
        <v>166.7</v>
      </c>
      <c r="K605" s="49">
        <f>K606+K607</f>
        <v>0</v>
      </c>
      <c r="L605" s="49">
        <f>L606+L607</f>
        <v>166.7</v>
      </c>
    </row>
    <row r="606" spans="1:12" ht="24" customHeight="1">
      <c r="A606" s="79" t="s">
        <v>153</v>
      </c>
      <c r="B606" s="64" t="s">
        <v>220</v>
      </c>
      <c r="C606" s="64" t="s">
        <v>14</v>
      </c>
      <c r="D606" s="64" t="s">
        <v>14</v>
      </c>
      <c r="E606" s="64" t="s">
        <v>336</v>
      </c>
      <c r="F606" s="64" t="s">
        <v>154</v>
      </c>
      <c r="G606" s="22"/>
      <c r="H606" s="49"/>
      <c r="I606" s="49">
        <v>19.7</v>
      </c>
      <c r="J606" s="49">
        <f>H606+I606</f>
        <v>19.7</v>
      </c>
      <c r="K606" s="49"/>
      <c r="L606" s="49">
        <f>J606+K606</f>
        <v>19.7</v>
      </c>
    </row>
    <row r="607" spans="1:12" ht="21.75" customHeight="1">
      <c r="A607" s="79" t="s">
        <v>499</v>
      </c>
      <c r="B607" s="64" t="s">
        <v>220</v>
      </c>
      <c r="C607" s="64" t="s">
        <v>14</v>
      </c>
      <c r="D607" s="64" t="s">
        <v>14</v>
      </c>
      <c r="E607" s="64" t="s">
        <v>336</v>
      </c>
      <c r="F607" s="64" t="s">
        <v>147</v>
      </c>
      <c r="G607" s="22"/>
      <c r="H607" s="49">
        <v>66</v>
      </c>
      <c r="I607" s="49">
        <v>81</v>
      </c>
      <c r="J607" s="49">
        <f>H607+I607</f>
        <v>147</v>
      </c>
      <c r="K607" s="49"/>
      <c r="L607" s="49">
        <f>J607+K607</f>
        <v>147</v>
      </c>
    </row>
    <row r="608" spans="1:12" s="31" customFormat="1" ht="14.25">
      <c r="A608" s="89" t="s">
        <v>375</v>
      </c>
      <c r="B608" s="63" t="s">
        <v>220</v>
      </c>
      <c r="C608" s="63" t="s">
        <v>34</v>
      </c>
      <c r="D608" s="63"/>
      <c r="E608" s="63"/>
      <c r="F608" s="63"/>
      <c r="G608" s="17" t="e">
        <f>G609+#REF!</f>
        <v>#REF!</v>
      </c>
      <c r="H608" s="47">
        <f>H609+H641</f>
        <v>6306.69</v>
      </c>
      <c r="I608" s="47">
        <f>I609+I641</f>
        <v>1663.4334</v>
      </c>
      <c r="J608" s="47">
        <f>J609+J641</f>
        <v>15476.63255</v>
      </c>
      <c r="K608" s="47">
        <f>K609+K641</f>
        <v>227.27660000000003</v>
      </c>
      <c r="L608" s="47">
        <f>L609+L641</f>
        <v>15703.90915</v>
      </c>
    </row>
    <row r="609" spans="1:12" s="27" customFormat="1" ht="14.25">
      <c r="A609" s="90" t="s">
        <v>50</v>
      </c>
      <c r="B609" s="63" t="s">
        <v>220</v>
      </c>
      <c r="C609" s="63" t="s">
        <v>34</v>
      </c>
      <c r="D609" s="63" t="s">
        <v>6</v>
      </c>
      <c r="E609" s="63"/>
      <c r="F609" s="63"/>
      <c r="G609" s="17" t="e">
        <f>G620+G627</f>
        <v>#REF!</v>
      </c>
      <c r="H609" s="47">
        <f>H620+H627+H638+H610</f>
        <v>4007.2</v>
      </c>
      <c r="I609" s="47">
        <f>I620+I627+I638+I610</f>
        <v>929.0300000000001</v>
      </c>
      <c r="J609" s="47">
        <f>J620+J627+J638+J610+J617+J612+J614</f>
        <v>12486.26247</v>
      </c>
      <c r="K609" s="47">
        <f>K620+K627+K638+K610+K617+K612+K614</f>
        <v>342.00800000000004</v>
      </c>
      <c r="L609" s="47">
        <f>L620+L627+L638+L610+L617+L612+L614</f>
        <v>12828.27047</v>
      </c>
    </row>
    <row r="610" spans="1:12" s="27" customFormat="1" ht="21" customHeight="1">
      <c r="A610" s="90" t="s">
        <v>439</v>
      </c>
      <c r="B610" s="64" t="s">
        <v>220</v>
      </c>
      <c r="C610" s="64" t="s">
        <v>34</v>
      </c>
      <c r="D610" s="64" t="s">
        <v>6</v>
      </c>
      <c r="E610" s="64" t="s">
        <v>432</v>
      </c>
      <c r="F610" s="64"/>
      <c r="G610" s="17"/>
      <c r="H610" s="49">
        <f>H611</f>
        <v>0</v>
      </c>
      <c r="I610" s="49">
        <f>I611</f>
        <v>0</v>
      </c>
      <c r="J610" s="49">
        <f>J611</f>
        <v>0</v>
      </c>
      <c r="K610" s="49">
        <f>K611</f>
        <v>36.9</v>
      </c>
      <c r="L610" s="49">
        <f>L611</f>
        <v>36.9</v>
      </c>
    </row>
    <row r="611" spans="1:12" s="27" customFormat="1" ht="34.5" customHeight="1">
      <c r="A611" s="79" t="s">
        <v>502</v>
      </c>
      <c r="B611" s="64" t="s">
        <v>220</v>
      </c>
      <c r="C611" s="64" t="s">
        <v>34</v>
      </c>
      <c r="D611" s="64" t="s">
        <v>6</v>
      </c>
      <c r="E611" s="64" t="s">
        <v>432</v>
      </c>
      <c r="F611" s="64" t="s">
        <v>126</v>
      </c>
      <c r="G611" s="17"/>
      <c r="H611" s="49"/>
      <c r="I611" s="49"/>
      <c r="J611" s="49">
        <f>H611+I611</f>
        <v>0</v>
      </c>
      <c r="K611" s="49">
        <v>36.9</v>
      </c>
      <c r="L611" s="49">
        <f>J611+K611</f>
        <v>36.9</v>
      </c>
    </row>
    <row r="612" spans="1:12" s="27" customFormat="1" ht="23.25" customHeight="1">
      <c r="A612" s="116" t="s">
        <v>535</v>
      </c>
      <c r="B612" s="64" t="s">
        <v>220</v>
      </c>
      <c r="C612" s="64" t="s">
        <v>34</v>
      </c>
      <c r="D612" s="64" t="s">
        <v>6</v>
      </c>
      <c r="E612" s="64" t="s">
        <v>534</v>
      </c>
      <c r="F612" s="64"/>
      <c r="G612" s="17"/>
      <c r="H612" s="49"/>
      <c r="I612" s="49"/>
      <c r="J612" s="49">
        <f>J613</f>
        <v>0</v>
      </c>
      <c r="K612" s="49">
        <f>K613</f>
        <v>100</v>
      </c>
      <c r="L612" s="49">
        <f>L613</f>
        <v>100</v>
      </c>
    </row>
    <row r="613" spans="1:12" s="27" customFormat="1" ht="15" customHeight="1">
      <c r="A613" s="79" t="s">
        <v>362</v>
      </c>
      <c r="B613" s="64" t="s">
        <v>220</v>
      </c>
      <c r="C613" s="64" t="s">
        <v>34</v>
      </c>
      <c r="D613" s="64" t="s">
        <v>6</v>
      </c>
      <c r="E613" s="64" t="s">
        <v>534</v>
      </c>
      <c r="F613" s="64" t="s">
        <v>134</v>
      </c>
      <c r="G613" s="17"/>
      <c r="H613" s="49"/>
      <c r="I613" s="49"/>
      <c r="J613" s="49"/>
      <c r="K613" s="49">
        <v>100</v>
      </c>
      <c r="L613" s="49">
        <f>J613+K613</f>
        <v>100</v>
      </c>
    </row>
    <row r="614" spans="1:12" s="27" customFormat="1" ht="22.5" customHeight="1">
      <c r="A614" s="79" t="s">
        <v>536</v>
      </c>
      <c r="B614" s="64" t="s">
        <v>220</v>
      </c>
      <c r="C614" s="64" t="s">
        <v>34</v>
      </c>
      <c r="D614" s="64" t="s">
        <v>6</v>
      </c>
      <c r="E614" s="64" t="s">
        <v>277</v>
      </c>
      <c r="F614" s="64"/>
      <c r="G614" s="17"/>
      <c r="H614" s="49"/>
      <c r="I614" s="49"/>
      <c r="J614" s="49">
        <f>J615+J616</f>
        <v>3005.90423</v>
      </c>
      <c r="K614" s="49">
        <f>K615+K616</f>
        <v>155</v>
      </c>
      <c r="L614" s="49">
        <f>L615+L616</f>
        <v>3160.90423</v>
      </c>
    </row>
    <row r="615" spans="1:12" s="27" customFormat="1" ht="15" customHeight="1">
      <c r="A615" s="82" t="s">
        <v>340</v>
      </c>
      <c r="B615" s="64" t="s">
        <v>220</v>
      </c>
      <c r="C615" s="64" t="s">
        <v>34</v>
      </c>
      <c r="D615" s="64" t="s">
        <v>6</v>
      </c>
      <c r="E615" s="64" t="s">
        <v>277</v>
      </c>
      <c r="F615" s="64" t="s">
        <v>151</v>
      </c>
      <c r="G615" s="17"/>
      <c r="H615" s="49"/>
      <c r="I615" s="49"/>
      <c r="J615" s="49">
        <v>399.29</v>
      </c>
      <c r="K615" s="49"/>
      <c r="L615" s="49">
        <f>J615+K615</f>
        <v>399.29</v>
      </c>
    </row>
    <row r="616" spans="1:12" s="27" customFormat="1" ht="45">
      <c r="A616" s="79" t="s">
        <v>502</v>
      </c>
      <c r="B616" s="64" t="s">
        <v>220</v>
      </c>
      <c r="C616" s="64" t="s">
        <v>34</v>
      </c>
      <c r="D616" s="64" t="s">
        <v>6</v>
      </c>
      <c r="E616" s="64" t="s">
        <v>277</v>
      </c>
      <c r="F616" s="64" t="s">
        <v>126</v>
      </c>
      <c r="G616" s="17"/>
      <c r="H616" s="49"/>
      <c r="I616" s="49"/>
      <c r="J616" s="49">
        <v>2606.61423</v>
      </c>
      <c r="K616" s="49">
        <f>155</f>
        <v>155</v>
      </c>
      <c r="L616" s="49">
        <f>J616+K616</f>
        <v>2761.61423</v>
      </c>
    </row>
    <row r="617" spans="1:12" s="27" customFormat="1" ht="14.25">
      <c r="A617" s="79" t="s">
        <v>504</v>
      </c>
      <c r="B617" s="64" t="s">
        <v>220</v>
      </c>
      <c r="C617" s="64" t="s">
        <v>34</v>
      </c>
      <c r="D617" s="64" t="s">
        <v>6</v>
      </c>
      <c r="E617" s="64" t="s">
        <v>505</v>
      </c>
      <c r="F617" s="64"/>
      <c r="G617" s="17"/>
      <c r="H617" s="49"/>
      <c r="I617" s="49"/>
      <c r="J617" s="49">
        <f>J619++J618</f>
        <v>400.53066</v>
      </c>
      <c r="K617" s="49">
        <f>K619++K618</f>
        <v>-155</v>
      </c>
      <c r="L617" s="49">
        <f>L619++L618</f>
        <v>245.53066</v>
      </c>
    </row>
    <row r="618" spans="1:12" s="27" customFormat="1" ht="14.25">
      <c r="A618" s="82" t="s">
        <v>340</v>
      </c>
      <c r="B618" s="64" t="s">
        <v>220</v>
      </c>
      <c r="C618" s="64" t="s">
        <v>34</v>
      </c>
      <c r="D618" s="64" t="s">
        <v>6</v>
      </c>
      <c r="E618" s="64" t="s">
        <v>505</v>
      </c>
      <c r="F618" s="64" t="s">
        <v>151</v>
      </c>
      <c r="G618" s="17"/>
      <c r="H618" s="49"/>
      <c r="I618" s="49"/>
      <c r="J618" s="49">
        <v>3.413</v>
      </c>
      <c r="K618" s="49"/>
      <c r="L618" s="49">
        <f>J618+K618</f>
        <v>3.413</v>
      </c>
    </row>
    <row r="619" spans="1:12" s="27" customFormat="1" ht="45">
      <c r="A619" s="79" t="s">
        <v>502</v>
      </c>
      <c r="B619" s="64" t="s">
        <v>220</v>
      </c>
      <c r="C619" s="64" t="s">
        <v>34</v>
      </c>
      <c r="D619" s="64" t="s">
        <v>6</v>
      </c>
      <c r="E619" s="64" t="s">
        <v>505</v>
      </c>
      <c r="F619" s="64" t="s">
        <v>126</v>
      </c>
      <c r="G619" s="17"/>
      <c r="H619" s="49"/>
      <c r="I619" s="49"/>
      <c r="J619" s="49">
        <v>397.11766</v>
      </c>
      <c r="K619" s="49">
        <f>-155-52.008+52.008</f>
        <v>-155</v>
      </c>
      <c r="L619" s="49">
        <f>J619+K619</f>
        <v>242.11766</v>
      </c>
    </row>
    <row r="620" spans="1:12" ht="15">
      <c r="A620" s="90" t="s">
        <v>342</v>
      </c>
      <c r="B620" s="64" t="s">
        <v>220</v>
      </c>
      <c r="C620" s="64" t="s">
        <v>34</v>
      </c>
      <c r="D620" s="64" t="s">
        <v>6</v>
      </c>
      <c r="E620" s="64" t="s">
        <v>343</v>
      </c>
      <c r="F620" s="64"/>
      <c r="G620" s="22" t="e">
        <f aca="true" t="shared" si="47" ref="G620:L620">G621</f>
        <v>#REF!</v>
      </c>
      <c r="H620" s="49">
        <f t="shared" si="47"/>
        <v>953.8300000000002</v>
      </c>
      <c r="I620" s="49">
        <f t="shared" si="47"/>
        <v>51.739999999999995</v>
      </c>
      <c r="J620" s="49">
        <f>J621</f>
        <v>3257.1942599999998</v>
      </c>
      <c r="K620" s="49">
        <f t="shared" si="47"/>
        <v>86.50800000000001</v>
      </c>
      <c r="L620" s="49">
        <f t="shared" si="47"/>
        <v>3343.7022599999996</v>
      </c>
    </row>
    <row r="621" spans="1:12" ht="23.25">
      <c r="A621" s="90" t="s">
        <v>98</v>
      </c>
      <c r="B621" s="64" t="s">
        <v>220</v>
      </c>
      <c r="C621" s="64" t="s">
        <v>34</v>
      </c>
      <c r="D621" s="64" t="s">
        <v>6</v>
      </c>
      <c r="E621" s="64" t="s">
        <v>344</v>
      </c>
      <c r="F621" s="64"/>
      <c r="G621" s="22" t="e">
        <f>#REF!</f>
        <v>#REF!</v>
      </c>
      <c r="H621" s="49">
        <f>H622+H623+H624+H625</f>
        <v>953.8300000000002</v>
      </c>
      <c r="I621" s="49">
        <f>I622+I623+I624+I625</f>
        <v>51.739999999999995</v>
      </c>
      <c r="J621" s="49">
        <f>J622+J623+J624+J625+J626</f>
        <v>3257.1942599999998</v>
      </c>
      <c r="K621" s="49">
        <f>K622+K623+K624+K625+K626</f>
        <v>86.50800000000001</v>
      </c>
      <c r="L621" s="49">
        <f>L622+L623+L624+L625+L626</f>
        <v>3343.7022599999996</v>
      </c>
    </row>
    <row r="622" spans="1:12" ht="15.75" customHeight="1">
      <c r="A622" s="79" t="s">
        <v>150</v>
      </c>
      <c r="B622" s="64" t="s">
        <v>220</v>
      </c>
      <c r="C622" s="64" t="s">
        <v>34</v>
      </c>
      <c r="D622" s="64" t="s">
        <v>6</v>
      </c>
      <c r="E622" s="64" t="s">
        <v>344</v>
      </c>
      <c r="F622" s="64" t="s">
        <v>151</v>
      </c>
      <c r="G622" s="22"/>
      <c r="H622" s="49">
        <v>702.7</v>
      </c>
      <c r="I622" s="49">
        <v>59.62</v>
      </c>
      <c r="J622" s="49">
        <v>650.17975</v>
      </c>
      <c r="K622" s="49"/>
      <c r="L622" s="49">
        <f>J622+K622</f>
        <v>650.17975</v>
      </c>
    </row>
    <row r="623" spans="1:12" ht="24.75" customHeight="1" hidden="1">
      <c r="A623" s="79" t="s">
        <v>153</v>
      </c>
      <c r="B623" s="64" t="s">
        <v>220</v>
      </c>
      <c r="C623" s="64" t="s">
        <v>34</v>
      </c>
      <c r="D623" s="64" t="s">
        <v>6</v>
      </c>
      <c r="E623" s="64" t="s">
        <v>344</v>
      </c>
      <c r="F623" s="64" t="s">
        <v>154</v>
      </c>
      <c r="G623" s="22"/>
      <c r="H623" s="49">
        <v>1.7</v>
      </c>
      <c r="I623" s="49">
        <v>-1.7</v>
      </c>
      <c r="J623" s="49">
        <f>H623+I623</f>
        <v>0</v>
      </c>
      <c r="K623" s="49"/>
      <c r="L623" s="49">
        <f>J623+K623</f>
        <v>0</v>
      </c>
    </row>
    <row r="624" spans="1:12" ht="30" customHeight="1" hidden="1">
      <c r="A624" s="79" t="s">
        <v>156</v>
      </c>
      <c r="B624" s="64" t="s">
        <v>220</v>
      </c>
      <c r="C624" s="64" t="s">
        <v>34</v>
      </c>
      <c r="D624" s="64" t="s">
        <v>6</v>
      </c>
      <c r="E624" s="64" t="s">
        <v>344</v>
      </c>
      <c r="F624" s="64" t="s">
        <v>157</v>
      </c>
      <c r="G624" s="22"/>
      <c r="H624" s="49"/>
      <c r="I624" s="49"/>
      <c r="J624" s="49">
        <f>H624+I624</f>
        <v>0</v>
      </c>
      <c r="K624" s="49"/>
      <c r="L624" s="49">
        <f>J624+K624</f>
        <v>0</v>
      </c>
    </row>
    <row r="625" spans="1:12" ht="30" customHeight="1">
      <c r="A625" s="79" t="s">
        <v>499</v>
      </c>
      <c r="B625" s="64" t="s">
        <v>220</v>
      </c>
      <c r="C625" s="64" t="s">
        <v>34</v>
      </c>
      <c r="D625" s="64" t="s">
        <v>6</v>
      </c>
      <c r="E625" s="64" t="s">
        <v>344</v>
      </c>
      <c r="F625" s="64" t="s">
        <v>147</v>
      </c>
      <c r="G625" s="22"/>
      <c r="H625" s="49">
        <v>249.43</v>
      </c>
      <c r="I625" s="49">
        <v>-6.18</v>
      </c>
      <c r="J625" s="49">
        <v>122.76913</v>
      </c>
      <c r="K625" s="49"/>
      <c r="L625" s="49">
        <f>J625+K625</f>
        <v>122.76913</v>
      </c>
    </row>
    <row r="626" spans="1:12" ht="47.25" customHeight="1">
      <c r="A626" s="79" t="s">
        <v>502</v>
      </c>
      <c r="B626" s="64" t="s">
        <v>220</v>
      </c>
      <c r="C626" s="64" t="s">
        <v>34</v>
      </c>
      <c r="D626" s="64" t="s">
        <v>6</v>
      </c>
      <c r="E626" s="64" t="s">
        <v>344</v>
      </c>
      <c r="F626" s="64" t="s">
        <v>126</v>
      </c>
      <c r="G626" s="22"/>
      <c r="H626" s="49"/>
      <c r="I626" s="49"/>
      <c r="J626" s="49">
        <v>2484.24538</v>
      </c>
      <c r="K626" s="49">
        <f>61.508+25</f>
        <v>86.50800000000001</v>
      </c>
      <c r="L626" s="49">
        <f>J626+K626</f>
        <v>2570.7533799999997</v>
      </c>
    </row>
    <row r="627" spans="1:12" ht="23.25">
      <c r="A627" s="90" t="s">
        <v>345</v>
      </c>
      <c r="B627" s="64" t="s">
        <v>220</v>
      </c>
      <c r="C627" s="64" t="s">
        <v>34</v>
      </c>
      <c r="D627" s="64" t="s">
        <v>6</v>
      </c>
      <c r="E627" s="64" t="s">
        <v>346</v>
      </c>
      <c r="F627" s="64"/>
      <c r="G627" s="22" t="e">
        <f aca="true" t="shared" si="48" ref="G627:L627">G628+G636</f>
        <v>#REF!</v>
      </c>
      <c r="H627" s="49">
        <f t="shared" si="48"/>
        <v>3016.5699999999997</v>
      </c>
      <c r="I627" s="49">
        <f t="shared" si="48"/>
        <v>877.19</v>
      </c>
      <c r="J627" s="49">
        <f t="shared" si="48"/>
        <v>4012.2333200000003</v>
      </c>
      <c r="K627" s="49">
        <f t="shared" si="48"/>
        <v>-44.5</v>
      </c>
      <c r="L627" s="49">
        <f t="shared" si="48"/>
        <v>3967.7333200000003</v>
      </c>
    </row>
    <row r="628" spans="1:12" ht="23.25">
      <c r="A628" s="90" t="s">
        <v>98</v>
      </c>
      <c r="B628" s="64" t="s">
        <v>220</v>
      </c>
      <c r="C628" s="64" t="s">
        <v>34</v>
      </c>
      <c r="D628" s="64" t="s">
        <v>6</v>
      </c>
      <c r="E628" s="64" t="s">
        <v>347</v>
      </c>
      <c r="F628" s="64"/>
      <c r="G628" s="22" t="e">
        <f>#REF!</f>
        <v>#REF!</v>
      </c>
      <c r="H628" s="49">
        <f>H630+H632+H629+H631+H634+H635</f>
        <v>2978.5699999999997</v>
      </c>
      <c r="I628" s="49">
        <f>I630+I632+I629+I631+I634+I635</f>
        <v>880.19</v>
      </c>
      <c r="J628" s="49">
        <f>J630+J632+J629+J631+J634+J635+J633</f>
        <v>4012.2333200000003</v>
      </c>
      <c r="K628" s="49">
        <f>K630+K632+K629+K631+K634+K635+K633</f>
        <v>-44.5</v>
      </c>
      <c r="L628" s="49">
        <f>L630+L632+L629+L631+L634+L635+L633</f>
        <v>3967.7333200000003</v>
      </c>
    </row>
    <row r="629" spans="1:12" ht="15">
      <c r="A629" s="79" t="s">
        <v>340</v>
      </c>
      <c r="B629" s="64" t="s">
        <v>220</v>
      </c>
      <c r="C629" s="64" t="s">
        <v>34</v>
      </c>
      <c r="D629" s="64" t="s">
        <v>6</v>
      </c>
      <c r="E629" s="64" t="s">
        <v>347</v>
      </c>
      <c r="F629" s="64" t="s">
        <v>151</v>
      </c>
      <c r="G629" s="22"/>
      <c r="H629" s="49">
        <v>2350.1</v>
      </c>
      <c r="I629" s="49">
        <v>194.66</v>
      </c>
      <c r="J629" s="49">
        <v>1110.81956</v>
      </c>
      <c r="K629" s="49"/>
      <c r="L629" s="49">
        <f aca="true" t="shared" si="49" ref="L629:L635">J629+K629</f>
        <v>1110.81956</v>
      </c>
    </row>
    <row r="630" spans="1:12" ht="22.5">
      <c r="A630" s="79" t="s">
        <v>224</v>
      </c>
      <c r="B630" s="64" t="s">
        <v>220</v>
      </c>
      <c r="C630" s="64" t="s">
        <v>34</v>
      </c>
      <c r="D630" s="64" t="s">
        <v>6</v>
      </c>
      <c r="E630" s="64" t="s">
        <v>347</v>
      </c>
      <c r="F630" s="64" t="s">
        <v>154</v>
      </c>
      <c r="G630" s="22"/>
      <c r="H630" s="49">
        <v>89.6</v>
      </c>
      <c r="I630" s="49">
        <v>-9.6</v>
      </c>
      <c r="J630" s="49">
        <v>13.6</v>
      </c>
      <c r="K630" s="49"/>
      <c r="L630" s="49">
        <f t="shared" si="49"/>
        <v>13.6</v>
      </c>
    </row>
    <row r="631" spans="1:12" ht="25.5" customHeight="1" hidden="1">
      <c r="A631" s="79" t="s">
        <v>156</v>
      </c>
      <c r="B631" s="64" t="s">
        <v>220</v>
      </c>
      <c r="C631" s="64" t="s">
        <v>34</v>
      </c>
      <c r="D631" s="64" t="s">
        <v>6</v>
      </c>
      <c r="E631" s="64" t="s">
        <v>347</v>
      </c>
      <c r="F631" s="64" t="s">
        <v>157</v>
      </c>
      <c r="G631" s="22"/>
      <c r="H631" s="49">
        <v>200</v>
      </c>
      <c r="I631" s="49">
        <v>-200</v>
      </c>
      <c r="J631" s="49">
        <f>H631+I631</f>
        <v>0</v>
      </c>
      <c r="K631" s="49"/>
      <c r="L631" s="49">
        <f t="shared" si="49"/>
        <v>0</v>
      </c>
    </row>
    <row r="632" spans="1:12" ht="33.75">
      <c r="A632" s="79" t="s">
        <v>499</v>
      </c>
      <c r="B632" s="64" t="s">
        <v>220</v>
      </c>
      <c r="C632" s="64" t="s">
        <v>34</v>
      </c>
      <c r="D632" s="64" t="s">
        <v>6</v>
      </c>
      <c r="E632" s="64" t="s">
        <v>347</v>
      </c>
      <c r="F632" s="64" t="s">
        <v>147</v>
      </c>
      <c r="G632" s="22"/>
      <c r="H632" s="49">
        <v>338.87</v>
      </c>
      <c r="I632" s="49">
        <v>845.13</v>
      </c>
      <c r="J632" s="49">
        <v>996.49</v>
      </c>
      <c r="K632" s="49"/>
      <c r="L632" s="49">
        <f t="shared" si="49"/>
        <v>996.49</v>
      </c>
    </row>
    <row r="633" spans="1:12" ht="45">
      <c r="A633" s="79" t="s">
        <v>502</v>
      </c>
      <c r="B633" s="64" t="s">
        <v>220</v>
      </c>
      <c r="C633" s="64" t="s">
        <v>34</v>
      </c>
      <c r="D633" s="64" t="s">
        <v>6</v>
      </c>
      <c r="E633" s="64" t="s">
        <v>347</v>
      </c>
      <c r="F633" s="64" t="s">
        <v>126</v>
      </c>
      <c r="G633" s="22"/>
      <c r="H633" s="49"/>
      <c r="I633" s="49"/>
      <c r="J633" s="49">
        <v>1841.32376</v>
      </c>
      <c r="K633" s="49">
        <f>-61.508+52.008+17.008-52.008</f>
        <v>-44.5</v>
      </c>
      <c r="L633" s="49">
        <f t="shared" si="49"/>
        <v>1796.82376</v>
      </c>
    </row>
    <row r="634" spans="1:12" ht="21.75" customHeight="1">
      <c r="A634" s="79" t="s">
        <v>265</v>
      </c>
      <c r="B634" s="64" t="s">
        <v>220</v>
      </c>
      <c r="C634" s="64" t="s">
        <v>34</v>
      </c>
      <c r="D634" s="64" t="s">
        <v>6</v>
      </c>
      <c r="E634" s="64" t="s">
        <v>347</v>
      </c>
      <c r="F634" s="64" t="s">
        <v>159</v>
      </c>
      <c r="G634" s="22"/>
      <c r="H634" s="49"/>
      <c r="I634" s="49">
        <v>20.82</v>
      </c>
      <c r="J634" s="49">
        <f>H634+I634</f>
        <v>20.82</v>
      </c>
      <c r="K634" s="49"/>
      <c r="L634" s="49">
        <f t="shared" si="49"/>
        <v>20.82</v>
      </c>
    </row>
    <row r="635" spans="1:12" ht="15" customHeight="1">
      <c r="A635" s="82" t="s">
        <v>160</v>
      </c>
      <c r="B635" s="64" t="s">
        <v>220</v>
      </c>
      <c r="C635" s="64" t="s">
        <v>34</v>
      </c>
      <c r="D635" s="64" t="s">
        <v>6</v>
      </c>
      <c r="E635" s="64" t="s">
        <v>347</v>
      </c>
      <c r="F635" s="64" t="s">
        <v>161</v>
      </c>
      <c r="G635" s="22"/>
      <c r="H635" s="49"/>
      <c r="I635" s="49">
        <v>29.18</v>
      </c>
      <c r="J635" s="49">
        <f>H635+I635</f>
        <v>29.18</v>
      </c>
      <c r="K635" s="49"/>
      <c r="L635" s="49">
        <f t="shared" si="49"/>
        <v>29.18</v>
      </c>
    </row>
    <row r="636" spans="1:12" ht="23.25" hidden="1">
      <c r="A636" s="90" t="s">
        <v>98</v>
      </c>
      <c r="B636" s="64" t="s">
        <v>220</v>
      </c>
      <c r="C636" s="64" t="s">
        <v>34</v>
      </c>
      <c r="D636" s="64" t="s">
        <v>6</v>
      </c>
      <c r="E636" s="64" t="s">
        <v>348</v>
      </c>
      <c r="F636" s="64"/>
      <c r="G636" s="22" t="e">
        <f>#REF!</f>
        <v>#REF!</v>
      </c>
      <c r="H636" s="53">
        <f>H637</f>
        <v>38</v>
      </c>
      <c r="I636" s="53">
        <f>I637</f>
        <v>-3</v>
      </c>
      <c r="J636" s="53">
        <f>J637</f>
        <v>0</v>
      </c>
      <c r="K636" s="53">
        <f>K637</f>
        <v>0</v>
      </c>
      <c r="L636" s="53">
        <f>L637</f>
        <v>0</v>
      </c>
    </row>
    <row r="637" spans="1:12" ht="22.5" hidden="1">
      <c r="A637" s="79" t="s">
        <v>225</v>
      </c>
      <c r="B637" s="64" t="s">
        <v>220</v>
      </c>
      <c r="C637" s="64" t="s">
        <v>34</v>
      </c>
      <c r="D637" s="64" t="s">
        <v>6</v>
      </c>
      <c r="E637" s="64" t="s">
        <v>348</v>
      </c>
      <c r="F637" s="64" t="s">
        <v>147</v>
      </c>
      <c r="G637" s="22"/>
      <c r="H637" s="49">
        <v>38</v>
      </c>
      <c r="I637" s="49">
        <v>-3</v>
      </c>
      <c r="J637" s="49">
        <v>0</v>
      </c>
      <c r="K637" s="49"/>
      <c r="L637" s="49">
        <f>J637+K637</f>
        <v>0</v>
      </c>
    </row>
    <row r="638" spans="1:12" ht="23.25">
      <c r="A638" s="90" t="s">
        <v>372</v>
      </c>
      <c r="B638" s="64" t="s">
        <v>220</v>
      </c>
      <c r="C638" s="64" t="s">
        <v>34</v>
      </c>
      <c r="D638" s="64" t="s">
        <v>6</v>
      </c>
      <c r="E638" s="64" t="s">
        <v>373</v>
      </c>
      <c r="F638" s="64"/>
      <c r="G638" s="21">
        <f>G639</f>
        <v>0</v>
      </c>
      <c r="H638" s="49">
        <f>H639</f>
        <v>36.8</v>
      </c>
      <c r="I638" s="49">
        <f>I639</f>
        <v>0.1</v>
      </c>
      <c r="J638" s="49">
        <f>J639+J640</f>
        <v>1810.4</v>
      </c>
      <c r="K638" s="49">
        <f>K639+K640</f>
        <v>163.1</v>
      </c>
      <c r="L638" s="49">
        <f>L639+L640</f>
        <v>1973.5</v>
      </c>
    </row>
    <row r="639" spans="1:12" ht="24.75" customHeight="1" hidden="1">
      <c r="A639" s="79" t="s">
        <v>499</v>
      </c>
      <c r="B639" s="64" t="s">
        <v>220</v>
      </c>
      <c r="C639" s="64" t="s">
        <v>34</v>
      </c>
      <c r="D639" s="64" t="s">
        <v>6</v>
      </c>
      <c r="E639" s="64" t="s">
        <v>373</v>
      </c>
      <c r="F639" s="64" t="s">
        <v>147</v>
      </c>
      <c r="G639" s="22"/>
      <c r="H639" s="49">
        <v>36.8</v>
      </c>
      <c r="I639" s="49">
        <v>0.1</v>
      </c>
      <c r="J639" s="49">
        <v>0</v>
      </c>
      <c r="K639" s="49">
        <v>0</v>
      </c>
      <c r="L639" s="49">
        <f>J639+K639</f>
        <v>0</v>
      </c>
    </row>
    <row r="640" spans="1:12" ht="24.75" customHeight="1">
      <c r="A640" s="79" t="s">
        <v>502</v>
      </c>
      <c r="B640" s="64" t="s">
        <v>220</v>
      </c>
      <c r="C640" s="64" t="s">
        <v>34</v>
      </c>
      <c r="D640" s="64" t="s">
        <v>6</v>
      </c>
      <c r="E640" s="64" t="s">
        <v>373</v>
      </c>
      <c r="F640" s="64" t="s">
        <v>126</v>
      </c>
      <c r="G640" s="22"/>
      <c r="H640" s="49"/>
      <c r="I640" s="49"/>
      <c r="J640" s="49">
        <v>1810.4</v>
      </c>
      <c r="K640" s="49">
        <f>-36.9+200</f>
        <v>163.1</v>
      </c>
      <c r="L640" s="49">
        <f>J640+K640</f>
        <v>1973.5</v>
      </c>
    </row>
    <row r="641" spans="1:12" ht="22.5">
      <c r="A641" s="89" t="s">
        <v>349</v>
      </c>
      <c r="B641" s="63" t="s">
        <v>220</v>
      </c>
      <c r="C641" s="63" t="s">
        <v>34</v>
      </c>
      <c r="D641" s="63" t="s">
        <v>9</v>
      </c>
      <c r="E641" s="63"/>
      <c r="F641" s="63"/>
      <c r="G641" s="17" t="e">
        <f aca="true" t="shared" si="50" ref="G641:L642">G642</f>
        <v>#REF!</v>
      </c>
      <c r="H641" s="47">
        <f t="shared" si="50"/>
        <v>2299.49</v>
      </c>
      <c r="I641" s="47">
        <f t="shared" si="50"/>
        <v>734.4033999999999</v>
      </c>
      <c r="J641" s="47">
        <f t="shared" si="50"/>
        <v>2990.37008</v>
      </c>
      <c r="K641" s="47">
        <f t="shared" si="50"/>
        <v>-114.7314</v>
      </c>
      <c r="L641" s="47">
        <f t="shared" si="50"/>
        <v>2875.63868</v>
      </c>
    </row>
    <row r="642" spans="1:12" ht="23.25">
      <c r="A642" s="90" t="s">
        <v>332</v>
      </c>
      <c r="B642" s="64" t="s">
        <v>220</v>
      </c>
      <c r="C642" s="64" t="s">
        <v>34</v>
      </c>
      <c r="D642" s="64" t="s">
        <v>9</v>
      </c>
      <c r="E642" s="64" t="s">
        <v>104</v>
      </c>
      <c r="F642" s="64"/>
      <c r="G642" s="22" t="e">
        <f t="shared" si="50"/>
        <v>#REF!</v>
      </c>
      <c r="H642" s="49">
        <f t="shared" si="50"/>
        <v>2299.49</v>
      </c>
      <c r="I642" s="49">
        <f t="shared" si="50"/>
        <v>734.4033999999999</v>
      </c>
      <c r="J642" s="49">
        <f t="shared" si="50"/>
        <v>2990.37008</v>
      </c>
      <c r="K642" s="49">
        <f t="shared" si="50"/>
        <v>-114.7314</v>
      </c>
      <c r="L642" s="49">
        <f t="shared" si="50"/>
        <v>2875.63868</v>
      </c>
    </row>
    <row r="643" spans="1:12" ht="23.25">
      <c r="A643" s="90" t="s">
        <v>98</v>
      </c>
      <c r="B643" s="64" t="s">
        <v>220</v>
      </c>
      <c r="C643" s="64" t="s">
        <v>34</v>
      </c>
      <c r="D643" s="64" t="s">
        <v>9</v>
      </c>
      <c r="E643" s="64" t="s">
        <v>105</v>
      </c>
      <c r="F643" s="64"/>
      <c r="G643" s="22" t="e">
        <f>#REF!</f>
        <v>#REF!</v>
      </c>
      <c r="H643" s="49">
        <f>H644+H645+H647+H646+H648</f>
        <v>2299.49</v>
      </c>
      <c r="I643" s="49">
        <f>I644+I645+I647+I646+I648</f>
        <v>734.4033999999999</v>
      </c>
      <c r="J643" s="49">
        <f>J644+J645+J647+J646+J648</f>
        <v>2990.37008</v>
      </c>
      <c r="K643" s="49">
        <f>K644+K645+K647+K646+K648</f>
        <v>-114.7314</v>
      </c>
      <c r="L643" s="49">
        <f>L644+L645+L647+L646+L648</f>
        <v>2875.63868</v>
      </c>
    </row>
    <row r="644" spans="1:12" ht="15">
      <c r="A644" s="79" t="s">
        <v>340</v>
      </c>
      <c r="B644" s="64" t="s">
        <v>220</v>
      </c>
      <c r="C644" s="64" t="s">
        <v>34</v>
      </c>
      <c r="D644" s="64" t="s">
        <v>9</v>
      </c>
      <c r="E644" s="64" t="s">
        <v>105</v>
      </c>
      <c r="F644" s="64" t="s">
        <v>151</v>
      </c>
      <c r="G644" s="22"/>
      <c r="H644" s="49">
        <v>1934.8</v>
      </c>
      <c r="I644" s="49">
        <v>377.75</v>
      </c>
      <c r="J644" s="49">
        <v>1594.404</v>
      </c>
      <c r="K644" s="49">
        <f>-17.008-25</f>
        <v>-42.007999999999996</v>
      </c>
      <c r="L644" s="49">
        <f>J644+K644</f>
        <v>1552.396</v>
      </c>
    </row>
    <row r="645" spans="1:12" ht="21" customHeight="1" hidden="1">
      <c r="A645" s="79" t="s">
        <v>224</v>
      </c>
      <c r="B645" s="64" t="s">
        <v>220</v>
      </c>
      <c r="C645" s="64" t="s">
        <v>34</v>
      </c>
      <c r="D645" s="64" t="s">
        <v>9</v>
      </c>
      <c r="E645" s="64" t="s">
        <v>105</v>
      </c>
      <c r="F645" s="64" t="s">
        <v>154</v>
      </c>
      <c r="G645" s="22"/>
      <c r="H645" s="49"/>
      <c r="I645" s="49"/>
      <c r="J645" s="49">
        <f>H645+I645</f>
        <v>0</v>
      </c>
      <c r="K645" s="49"/>
      <c r="L645" s="49">
        <f>J645+K645</f>
        <v>0</v>
      </c>
    </row>
    <row r="646" spans="1:12" ht="27.75" customHeight="1">
      <c r="A646" s="79" t="s">
        <v>156</v>
      </c>
      <c r="B646" s="64" t="s">
        <v>220</v>
      </c>
      <c r="C646" s="64" t="s">
        <v>34</v>
      </c>
      <c r="D646" s="64" t="s">
        <v>9</v>
      </c>
      <c r="E646" s="64" t="s">
        <v>105</v>
      </c>
      <c r="F646" s="64" t="s">
        <v>157</v>
      </c>
      <c r="G646" s="22"/>
      <c r="H646" s="49">
        <v>5</v>
      </c>
      <c r="I646" s="49">
        <v>70</v>
      </c>
      <c r="J646" s="49">
        <f>H646+I646</f>
        <v>75</v>
      </c>
      <c r="K646" s="49"/>
      <c r="L646" s="49">
        <f>J646+K646</f>
        <v>75</v>
      </c>
    </row>
    <row r="647" spans="1:12" ht="25.5" customHeight="1">
      <c r="A647" s="79" t="s">
        <v>499</v>
      </c>
      <c r="B647" s="64" t="s">
        <v>220</v>
      </c>
      <c r="C647" s="64" t="s">
        <v>34</v>
      </c>
      <c r="D647" s="64" t="s">
        <v>9</v>
      </c>
      <c r="E647" s="64" t="s">
        <v>105</v>
      </c>
      <c r="F647" s="64" t="s">
        <v>147</v>
      </c>
      <c r="G647" s="22"/>
      <c r="H647" s="49">
        <v>359.69</v>
      </c>
      <c r="I647" s="49">
        <f>286.6534</f>
        <v>286.6534</v>
      </c>
      <c r="J647" s="49">
        <v>819.3434</v>
      </c>
      <c r="K647" s="49">
        <v>-72.7234</v>
      </c>
      <c r="L647" s="49">
        <f>J647+K647</f>
        <v>746.62</v>
      </c>
    </row>
    <row r="648" spans="1:12" ht="38.25" customHeight="1">
      <c r="A648" s="79" t="s">
        <v>502</v>
      </c>
      <c r="B648" s="64" t="s">
        <v>220</v>
      </c>
      <c r="C648" s="64" t="s">
        <v>34</v>
      </c>
      <c r="D648" s="64" t="s">
        <v>9</v>
      </c>
      <c r="E648" s="64" t="s">
        <v>105</v>
      </c>
      <c r="F648" s="64" t="s">
        <v>126</v>
      </c>
      <c r="G648" s="22"/>
      <c r="H648" s="49"/>
      <c r="I648" s="49"/>
      <c r="J648" s="49">
        <v>501.62268</v>
      </c>
      <c r="K648" s="49"/>
      <c r="L648" s="49">
        <f>J648+K648</f>
        <v>501.62268</v>
      </c>
    </row>
    <row r="649" spans="1:12" s="27" customFormat="1" ht="14.25">
      <c r="A649" s="92" t="s">
        <v>62</v>
      </c>
      <c r="B649" s="63" t="s">
        <v>220</v>
      </c>
      <c r="C649" s="63" t="s">
        <v>61</v>
      </c>
      <c r="D649" s="63" t="s">
        <v>206</v>
      </c>
      <c r="E649" s="63"/>
      <c r="F649" s="63"/>
      <c r="G649" s="17"/>
      <c r="H649" s="47">
        <f aca="true" t="shared" si="51" ref="H649:L650">H650</f>
        <v>0</v>
      </c>
      <c r="I649" s="47">
        <f t="shared" si="51"/>
        <v>200</v>
      </c>
      <c r="J649" s="47">
        <f t="shared" si="51"/>
        <v>230</v>
      </c>
      <c r="K649" s="47">
        <f t="shared" si="51"/>
        <v>0</v>
      </c>
      <c r="L649" s="47">
        <f t="shared" si="51"/>
        <v>230</v>
      </c>
    </row>
    <row r="650" spans="1:12" s="27" customFormat="1" ht="16.5" customHeight="1">
      <c r="A650" s="106" t="s">
        <v>68</v>
      </c>
      <c r="B650" s="63" t="s">
        <v>220</v>
      </c>
      <c r="C650" s="63" t="s">
        <v>61</v>
      </c>
      <c r="D650" s="63" t="s">
        <v>12</v>
      </c>
      <c r="E650" s="63"/>
      <c r="F650" s="63"/>
      <c r="G650" s="17"/>
      <c r="H650" s="47">
        <f t="shared" si="51"/>
        <v>0</v>
      </c>
      <c r="I650" s="47">
        <f t="shared" si="51"/>
        <v>200</v>
      </c>
      <c r="J650" s="47">
        <f t="shared" si="51"/>
        <v>230</v>
      </c>
      <c r="K650" s="47">
        <f t="shared" si="51"/>
        <v>0</v>
      </c>
      <c r="L650" s="47">
        <f t="shared" si="51"/>
        <v>230</v>
      </c>
    </row>
    <row r="651" spans="1:12" ht="15">
      <c r="A651" s="90" t="s">
        <v>312</v>
      </c>
      <c r="B651" s="64" t="s">
        <v>220</v>
      </c>
      <c r="C651" s="64" t="s">
        <v>61</v>
      </c>
      <c r="D651" s="64" t="s">
        <v>12</v>
      </c>
      <c r="E651" s="64" t="s">
        <v>252</v>
      </c>
      <c r="F651" s="64"/>
      <c r="G651" s="22">
        <f aca="true" t="shared" si="52" ref="G651:L651">G652+G654</f>
        <v>75</v>
      </c>
      <c r="H651" s="49">
        <f t="shared" si="52"/>
        <v>0</v>
      </c>
      <c r="I651" s="49">
        <f t="shared" si="52"/>
        <v>200</v>
      </c>
      <c r="J651" s="49">
        <f t="shared" si="52"/>
        <v>230</v>
      </c>
      <c r="K651" s="49">
        <f t="shared" si="52"/>
        <v>0</v>
      </c>
      <c r="L651" s="49">
        <f t="shared" si="52"/>
        <v>230</v>
      </c>
    </row>
    <row r="652" spans="1:12" ht="23.25">
      <c r="A652" s="77" t="s">
        <v>253</v>
      </c>
      <c r="B652" s="64" t="s">
        <v>220</v>
      </c>
      <c r="C652" s="64" t="s">
        <v>61</v>
      </c>
      <c r="D652" s="64" t="s">
        <v>12</v>
      </c>
      <c r="E652" s="64" t="s">
        <v>254</v>
      </c>
      <c r="F652" s="64"/>
      <c r="G652" s="22">
        <f aca="true" t="shared" si="53" ref="G652:L652">G653</f>
        <v>35</v>
      </c>
      <c r="H652" s="49">
        <f t="shared" si="53"/>
        <v>0</v>
      </c>
      <c r="I652" s="49">
        <f t="shared" si="53"/>
        <v>200</v>
      </c>
      <c r="J652" s="49">
        <f t="shared" si="53"/>
        <v>230</v>
      </c>
      <c r="K652" s="49">
        <f t="shared" si="53"/>
        <v>0</v>
      </c>
      <c r="L652" s="49">
        <f t="shared" si="53"/>
        <v>230</v>
      </c>
    </row>
    <row r="653" spans="1:12" ht="27" customHeight="1">
      <c r="A653" s="79" t="s">
        <v>499</v>
      </c>
      <c r="B653" s="64" t="s">
        <v>220</v>
      </c>
      <c r="C653" s="64" t="s">
        <v>61</v>
      </c>
      <c r="D653" s="64" t="s">
        <v>12</v>
      </c>
      <c r="E653" s="64" t="s">
        <v>254</v>
      </c>
      <c r="F653" s="64" t="s">
        <v>147</v>
      </c>
      <c r="G653" s="22">
        <f>15.4+19.6</f>
        <v>35</v>
      </c>
      <c r="H653" s="49"/>
      <c r="I653" s="49">
        <v>200</v>
      </c>
      <c r="J653" s="49">
        <v>230</v>
      </c>
      <c r="K653" s="49"/>
      <c r="L653" s="49">
        <f>J653+K653</f>
        <v>230</v>
      </c>
    </row>
    <row r="654" spans="1:12" ht="30" customHeight="1" hidden="1">
      <c r="A654" s="90" t="s">
        <v>255</v>
      </c>
      <c r="B654" s="64" t="s">
        <v>220</v>
      </c>
      <c r="C654" s="64" t="s">
        <v>61</v>
      </c>
      <c r="D654" s="64" t="s">
        <v>12</v>
      </c>
      <c r="E654" s="64" t="s">
        <v>256</v>
      </c>
      <c r="F654" s="64"/>
      <c r="G654" s="22">
        <f aca="true" t="shared" si="54" ref="G654:L654">G655</f>
        <v>40</v>
      </c>
      <c r="H654" s="49">
        <f t="shared" si="54"/>
        <v>0</v>
      </c>
      <c r="I654" s="49">
        <f t="shared" si="54"/>
        <v>0</v>
      </c>
      <c r="J654" s="49">
        <f t="shared" si="54"/>
        <v>0</v>
      </c>
      <c r="K654" s="49">
        <f t="shared" si="54"/>
        <v>0</v>
      </c>
      <c r="L654" s="49">
        <f t="shared" si="54"/>
        <v>0</v>
      </c>
    </row>
    <row r="655" spans="1:12" ht="31.5" customHeight="1" hidden="1">
      <c r="A655" s="79" t="s">
        <v>145</v>
      </c>
      <c r="B655" s="64" t="s">
        <v>258</v>
      </c>
      <c r="C655" s="64" t="s">
        <v>61</v>
      </c>
      <c r="D655" s="64" t="s">
        <v>12</v>
      </c>
      <c r="E655" s="64" t="s">
        <v>256</v>
      </c>
      <c r="F655" s="64" t="s">
        <v>147</v>
      </c>
      <c r="G655" s="22">
        <v>40</v>
      </c>
      <c r="H655" s="49"/>
      <c r="I655" s="49"/>
      <c r="J655" s="49">
        <f>H655+I655</f>
        <v>0</v>
      </c>
      <c r="K655" s="49"/>
      <c r="L655" s="49">
        <f>J655+K655</f>
        <v>0</v>
      </c>
    </row>
    <row r="656" spans="1:12" ht="15">
      <c r="A656" s="76" t="s">
        <v>58</v>
      </c>
      <c r="B656" s="63" t="s">
        <v>220</v>
      </c>
      <c r="C656" s="63" t="s">
        <v>16</v>
      </c>
      <c r="D656" s="64"/>
      <c r="E656" s="64"/>
      <c r="F656" s="64"/>
      <c r="G656" s="22"/>
      <c r="H656" s="47">
        <f>H657</f>
        <v>1287.58</v>
      </c>
      <c r="I656" s="47">
        <f>I657</f>
        <v>12.42</v>
      </c>
      <c r="J656" s="47">
        <f>J657</f>
        <v>1669.26</v>
      </c>
      <c r="K656" s="47">
        <f>K657</f>
        <v>0</v>
      </c>
      <c r="L656" s="47">
        <f>L657</f>
        <v>1669.26</v>
      </c>
    </row>
    <row r="657" spans="1:12" ht="15">
      <c r="A657" s="89" t="s">
        <v>352</v>
      </c>
      <c r="B657" s="63" t="s">
        <v>220</v>
      </c>
      <c r="C657" s="63" t="s">
        <v>16</v>
      </c>
      <c r="D657" s="63" t="s">
        <v>6</v>
      </c>
      <c r="E657" s="63"/>
      <c r="F657" s="63"/>
      <c r="G657" s="17" t="e">
        <f aca="true" t="shared" si="55" ref="G657:K658">G658</f>
        <v>#REF!</v>
      </c>
      <c r="H657" s="47">
        <f t="shared" si="55"/>
        <v>1287.58</v>
      </c>
      <c r="I657" s="47">
        <f t="shared" si="55"/>
        <v>12.42</v>
      </c>
      <c r="J657" s="47">
        <f>J658</f>
        <v>1669.26</v>
      </c>
      <c r="K657" s="47">
        <f t="shared" si="55"/>
        <v>0</v>
      </c>
      <c r="L657" s="47">
        <f>L658</f>
        <v>1669.26</v>
      </c>
    </row>
    <row r="658" spans="1:12" ht="23.25">
      <c r="A658" s="90" t="s">
        <v>333</v>
      </c>
      <c r="B658" s="64" t="s">
        <v>220</v>
      </c>
      <c r="C658" s="64" t="s">
        <v>16</v>
      </c>
      <c r="D658" s="64" t="s">
        <v>6</v>
      </c>
      <c r="E658" s="64" t="s">
        <v>350</v>
      </c>
      <c r="F658" s="64"/>
      <c r="G658" s="22" t="e">
        <f t="shared" si="55"/>
        <v>#REF!</v>
      </c>
      <c r="H658" s="49">
        <f t="shared" si="55"/>
        <v>1287.58</v>
      </c>
      <c r="I658" s="49">
        <f t="shared" si="55"/>
        <v>12.42</v>
      </c>
      <c r="J658" s="49">
        <f>J659</f>
        <v>1669.26</v>
      </c>
      <c r="K658" s="49">
        <f t="shared" si="55"/>
        <v>0</v>
      </c>
      <c r="L658" s="49">
        <f>L659</f>
        <v>1669.26</v>
      </c>
    </row>
    <row r="659" spans="1:12" ht="21.75" customHeight="1">
      <c r="A659" s="90" t="s">
        <v>353</v>
      </c>
      <c r="B659" s="64" t="s">
        <v>220</v>
      </c>
      <c r="C659" s="64" t="s">
        <v>16</v>
      </c>
      <c r="D659" s="64" t="s">
        <v>6</v>
      </c>
      <c r="E659" s="64" t="s">
        <v>351</v>
      </c>
      <c r="F659" s="64"/>
      <c r="G659" s="22" t="e">
        <f>#REF!</f>
        <v>#REF!</v>
      </c>
      <c r="H659" s="49">
        <f>H660+H661</f>
        <v>1287.58</v>
      </c>
      <c r="I659" s="49">
        <f>I660+I661</f>
        <v>12.42</v>
      </c>
      <c r="J659" s="49">
        <f>J660+J661</f>
        <v>1669.26</v>
      </c>
      <c r="K659" s="49">
        <f>K660+K661</f>
        <v>0</v>
      </c>
      <c r="L659" s="49">
        <f>L660+L661</f>
        <v>1669.26</v>
      </c>
    </row>
    <row r="660" spans="1:12" ht="22.5">
      <c r="A660" s="79" t="s">
        <v>224</v>
      </c>
      <c r="B660" s="64" t="s">
        <v>220</v>
      </c>
      <c r="C660" s="64" t="s">
        <v>16</v>
      </c>
      <c r="D660" s="64" t="s">
        <v>6</v>
      </c>
      <c r="E660" s="64" t="s">
        <v>351</v>
      </c>
      <c r="F660" s="64" t="s">
        <v>154</v>
      </c>
      <c r="G660" s="22"/>
      <c r="H660" s="49">
        <v>122.5</v>
      </c>
      <c r="I660" s="49">
        <v>27.5</v>
      </c>
      <c r="J660" s="49">
        <v>153</v>
      </c>
      <c r="K660" s="49"/>
      <c r="L660" s="49">
        <f>J660+K660</f>
        <v>153</v>
      </c>
    </row>
    <row r="661" spans="1:12" ht="27" customHeight="1">
      <c r="A661" s="79" t="s">
        <v>499</v>
      </c>
      <c r="B661" s="64" t="s">
        <v>220</v>
      </c>
      <c r="C661" s="64" t="s">
        <v>16</v>
      </c>
      <c r="D661" s="64" t="s">
        <v>6</v>
      </c>
      <c r="E661" s="64" t="s">
        <v>351</v>
      </c>
      <c r="F661" s="64" t="s">
        <v>147</v>
      </c>
      <c r="G661" s="22"/>
      <c r="H661" s="49">
        <v>1165.08</v>
      </c>
      <c r="I661" s="49">
        <v>-15.08</v>
      </c>
      <c r="J661" s="49">
        <v>1516.26</v>
      </c>
      <c r="K661" s="49"/>
      <c r="L661" s="49">
        <f>J661+K661</f>
        <v>1516.26</v>
      </c>
    </row>
    <row r="662" spans="1:12" ht="15" hidden="1">
      <c r="A662" s="79" t="s">
        <v>448</v>
      </c>
      <c r="B662" s="64" t="s">
        <v>445</v>
      </c>
      <c r="C662" s="64" t="s">
        <v>446</v>
      </c>
      <c r="D662" s="64" t="s">
        <v>446</v>
      </c>
      <c r="E662" s="64" t="s">
        <v>447</v>
      </c>
      <c r="F662" s="64" t="s">
        <v>445</v>
      </c>
      <c r="G662" s="22"/>
      <c r="H662" s="49">
        <v>7294.84</v>
      </c>
      <c r="I662" s="49">
        <v>-7294.84</v>
      </c>
      <c r="J662" s="49">
        <f>H662+I662</f>
        <v>0</v>
      </c>
      <c r="K662" s="49"/>
      <c r="L662" s="49">
        <f>J662+K662</f>
        <v>0</v>
      </c>
    </row>
    <row r="663" spans="1:12" s="42" customFormat="1" ht="13.5" customHeight="1">
      <c r="A663" s="132" t="s">
        <v>354</v>
      </c>
      <c r="B663" s="75"/>
      <c r="C663" s="75"/>
      <c r="D663" s="75"/>
      <c r="E663" s="75"/>
      <c r="F663" s="75"/>
      <c r="G663" s="133" t="e">
        <f>#REF!+G23+G171+#REF!+#REF!+G291+G593</f>
        <v>#REF!</v>
      </c>
      <c r="H663" s="126" t="e">
        <f>H23+H171+H291+H593+H662</f>
        <v>#REF!</v>
      </c>
      <c r="I663" s="126" t="e">
        <f>I23+I171+I291+I593+I662</f>
        <v>#REF!</v>
      </c>
      <c r="J663" s="126">
        <f>J23+J171+J291+J593+J662</f>
        <v>410648.80155</v>
      </c>
      <c r="K663" s="126">
        <f>K23+K171+K291+K593+K662</f>
        <v>30036.84898</v>
      </c>
      <c r="L663" s="126">
        <f>L23+L171+L291+L593+L662</f>
        <v>440685.65053000004</v>
      </c>
    </row>
    <row r="664" spans="1:12" s="46" customFormat="1" ht="15">
      <c r="A664" s="29"/>
      <c r="B664" s="29"/>
      <c r="C664" s="29"/>
      <c r="D664" s="29"/>
      <c r="E664" s="29"/>
      <c r="F664" s="29"/>
      <c r="G664" s="27"/>
      <c r="H664" s="45"/>
      <c r="I664" s="54"/>
      <c r="J664" s="45"/>
      <c r="K664" s="54"/>
      <c r="L664" s="45"/>
    </row>
    <row r="665" spans="1:12" s="46" customFormat="1" ht="15">
      <c r="A665" s="29"/>
      <c r="B665" s="29"/>
      <c r="C665" s="29"/>
      <c r="D665" s="29"/>
      <c r="E665" s="29"/>
      <c r="F665" s="29"/>
      <c r="G665" s="27"/>
      <c r="H665" s="45"/>
      <c r="I665" s="54"/>
      <c r="J665" s="45"/>
      <c r="K665" s="54"/>
      <c r="L665" s="45"/>
    </row>
    <row r="666" spans="1:12" s="46" customFormat="1" ht="15">
      <c r="A666" s="29"/>
      <c r="B666" s="29"/>
      <c r="C666" s="29"/>
      <c r="D666" s="29"/>
      <c r="E666" s="29"/>
      <c r="F666" s="29"/>
      <c r="G666" s="27"/>
      <c r="H666" s="45"/>
      <c r="I666" s="54"/>
      <c r="J666" s="45"/>
      <c r="K666" s="54"/>
      <c r="L666" s="45"/>
    </row>
    <row r="667" spans="1:12" s="46" customFormat="1" ht="15">
      <c r="A667" s="29"/>
      <c r="B667" s="29"/>
      <c r="C667" s="29"/>
      <c r="D667" s="29"/>
      <c r="E667" s="29"/>
      <c r="F667" s="29"/>
      <c r="G667" s="27"/>
      <c r="H667" s="45"/>
      <c r="I667" s="54"/>
      <c r="J667" s="45"/>
      <c r="K667" s="54"/>
      <c r="L667" s="45"/>
    </row>
    <row r="668" spans="1:12" s="46" customFormat="1" ht="15">
      <c r="A668" s="29"/>
      <c r="B668" s="29"/>
      <c r="C668" s="29"/>
      <c r="D668" s="29"/>
      <c r="E668" s="29"/>
      <c r="F668" s="29"/>
      <c r="G668" s="27"/>
      <c r="H668" s="45"/>
      <c r="I668" s="54"/>
      <c r="J668" s="45"/>
      <c r="K668" s="54"/>
      <c r="L668" s="45"/>
    </row>
    <row r="669" spans="1:12" s="46" customFormat="1" ht="15">
      <c r="A669" s="29"/>
      <c r="B669" s="29"/>
      <c r="C669" s="29"/>
      <c r="D669" s="29"/>
      <c r="E669" s="29"/>
      <c r="F669" s="29"/>
      <c r="G669" s="27"/>
      <c r="H669" s="45"/>
      <c r="I669" s="54"/>
      <c r="J669" s="45"/>
      <c r="K669" s="54"/>
      <c r="L669" s="45"/>
    </row>
    <row r="670" spans="1:12" s="46" customFormat="1" ht="15">
      <c r="A670" s="29"/>
      <c r="B670" s="29"/>
      <c r="C670" s="29"/>
      <c r="D670" s="29"/>
      <c r="E670" s="29"/>
      <c r="F670" s="29"/>
      <c r="G670" s="27"/>
      <c r="H670" s="45"/>
      <c r="I670" s="54"/>
      <c r="J670" s="45"/>
      <c r="K670" s="54"/>
      <c r="L670" s="45"/>
    </row>
    <row r="671" spans="1:12" s="46" customFormat="1" ht="15">
      <c r="A671" s="29"/>
      <c r="B671" s="29"/>
      <c r="C671" s="29"/>
      <c r="D671" s="29"/>
      <c r="E671" s="29"/>
      <c r="F671" s="29"/>
      <c r="G671" s="27"/>
      <c r="H671" s="45"/>
      <c r="I671" s="54"/>
      <c r="J671" s="45"/>
      <c r="K671" s="54"/>
      <c r="L671" s="45"/>
    </row>
    <row r="672" spans="1:12" s="46" customFormat="1" ht="15">
      <c r="A672" s="29"/>
      <c r="B672" s="29"/>
      <c r="C672" s="29"/>
      <c r="D672" s="29"/>
      <c r="E672" s="29"/>
      <c r="F672" s="29"/>
      <c r="G672" s="27"/>
      <c r="H672" s="45"/>
      <c r="I672" s="54"/>
      <c r="J672" s="45"/>
      <c r="K672" s="54"/>
      <c r="L672" s="45"/>
    </row>
    <row r="673" spans="1:12" s="46" customFormat="1" ht="15">
      <c r="A673" s="29"/>
      <c r="B673" s="29"/>
      <c r="C673" s="29"/>
      <c r="D673" s="29"/>
      <c r="E673" s="29"/>
      <c r="F673" s="29"/>
      <c r="G673" s="27"/>
      <c r="H673" s="45"/>
      <c r="I673" s="54"/>
      <c r="J673" s="45"/>
      <c r="K673" s="54"/>
      <c r="L673" s="45"/>
    </row>
    <row r="674" spans="1:12" s="46" customFormat="1" ht="15">
      <c r="A674" s="29"/>
      <c r="B674" s="29"/>
      <c r="C674" s="29"/>
      <c r="D674" s="29"/>
      <c r="E674" s="29"/>
      <c r="F674" s="29"/>
      <c r="G674" s="27"/>
      <c r="H674" s="45"/>
      <c r="I674" s="54"/>
      <c r="J674" s="45"/>
      <c r="K674" s="54"/>
      <c r="L674" s="45"/>
    </row>
    <row r="675" spans="1:12" s="46" customFormat="1" ht="15">
      <c r="A675" s="29"/>
      <c r="B675" s="29"/>
      <c r="C675" s="29"/>
      <c r="D675" s="29"/>
      <c r="E675" s="29"/>
      <c r="F675" s="29"/>
      <c r="G675" s="27"/>
      <c r="H675" s="45"/>
      <c r="I675" s="54"/>
      <c r="J675" s="45"/>
      <c r="K675" s="54"/>
      <c r="L675" s="45"/>
    </row>
    <row r="676" spans="1:12" s="46" customFormat="1" ht="15">
      <c r="A676" s="29"/>
      <c r="B676" s="29"/>
      <c r="C676" s="29"/>
      <c r="D676" s="29"/>
      <c r="E676" s="29"/>
      <c r="F676" s="29"/>
      <c r="G676" s="27"/>
      <c r="H676" s="45"/>
      <c r="I676" s="54"/>
      <c r="J676" s="45"/>
      <c r="K676" s="54"/>
      <c r="L676" s="45"/>
    </row>
    <row r="677" spans="1:12" s="46" customFormat="1" ht="15">
      <c r="A677" s="29"/>
      <c r="B677" s="29"/>
      <c r="C677" s="29"/>
      <c r="D677" s="29"/>
      <c r="E677" s="29"/>
      <c r="F677" s="29"/>
      <c r="G677" s="27"/>
      <c r="H677" s="45"/>
      <c r="I677" s="54"/>
      <c r="J677" s="45"/>
      <c r="K677" s="54"/>
      <c r="L677" s="45"/>
    </row>
    <row r="678" spans="1:12" s="46" customFormat="1" ht="15">
      <c r="A678" s="29"/>
      <c r="B678" s="29"/>
      <c r="C678" s="29"/>
      <c r="D678" s="29"/>
      <c r="E678" s="29"/>
      <c r="F678" s="29"/>
      <c r="G678" s="27"/>
      <c r="H678" s="45"/>
      <c r="I678" s="54"/>
      <c r="J678" s="45"/>
      <c r="K678" s="54"/>
      <c r="L678" s="45"/>
    </row>
    <row r="679" spans="1:12" s="46" customFormat="1" ht="15">
      <c r="A679" s="29"/>
      <c r="B679" s="29"/>
      <c r="C679" s="29"/>
      <c r="D679" s="29"/>
      <c r="E679" s="29"/>
      <c r="F679" s="29"/>
      <c r="G679" s="27"/>
      <c r="H679" s="45"/>
      <c r="I679" s="54"/>
      <c r="J679" s="45"/>
      <c r="K679" s="54"/>
      <c r="L679" s="45"/>
    </row>
    <row r="680" spans="1:12" s="46" customFormat="1" ht="15">
      <c r="A680" s="29"/>
      <c r="B680" s="29"/>
      <c r="C680" s="29"/>
      <c r="D680" s="29"/>
      <c r="E680" s="29"/>
      <c r="F680" s="29"/>
      <c r="G680" s="27"/>
      <c r="H680" s="45"/>
      <c r="I680" s="54"/>
      <c r="J680" s="45"/>
      <c r="K680" s="54"/>
      <c r="L680" s="45"/>
    </row>
    <row r="681" spans="1:12" s="46" customFormat="1" ht="15">
      <c r="A681" s="29"/>
      <c r="B681" s="29"/>
      <c r="C681" s="29"/>
      <c r="D681" s="29"/>
      <c r="E681" s="29"/>
      <c r="F681" s="29"/>
      <c r="G681" s="27"/>
      <c r="H681" s="45"/>
      <c r="I681" s="54"/>
      <c r="J681" s="45"/>
      <c r="K681" s="54"/>
      <c r="L681" s="45"/>
    </row>
    <row r="682" spans="1:12" s="46" customFormat="1" ht="15">
      <c r="A682" s="29"/>
      <c r="B682" s="29"/>
      <c r="C682" s="29"/>
      <c r="D682" s="29"/>
      <c r="E682" s="29"/>
      <c r="F682" s="29"/>
      <c r="G682" s="27"/>
      <c r="H682" s="45"/>
      <c r="I682" s="54"/>
      <c r="J682" s="45"/>
      <c r="K682" s="54"/>
      <c r="L682" s="45"/>
    </row>
    <row r="683" spans="1:12" s="46" customFormat="1" ht="15">
      <c r="A683" s="29"/>
      <c r="B683" s="29"/>
      <c r="C683" s="29"/>
      <c r="D683" s="29"/>
      <c r="E683" s="29"/>
      <c r="F683" s="29"/>
      <c r="G683" s="27"/>
      <c r="H683" s="45"/>
      <c r="I683" s="54"/>
      <c r="J683" s="45"/>
      <c r="K683" s="54"/>
      <c r="L683" s="45"/>
    </row>
    <row r="684" spans="1:12" s="46" customFormat="1" ht="15">
      <c r="A684" s="29"/>
      <c r="B684" s="29"/>
      <c r="C684" s="29"/>
      <c r="D684" s="29"/>
      <c r="E684" s="29"/>
      <c r="F684" s="29"/>
      <c r="G684" s="27"/>
      <c r="H684" s="45"/>
      <c r="I684" s="54"/>
      <c r="J684" s="45"/>
      <c r="K684" s="54"/>
      <c r="L684" s="45"/>
    </row>
    <row r="685" spans="1:12" s="46" customFormat="1" ht="15">
      <c r="A685" s="29"/>
      <c r="B685" s="29"/>
      <c r="C685" s="29"/>
      <c r="D685" s="29"/>
      <c r="E685" s="29"/>
      <c r="F685" s="29"/>
      <c r="G685" s="27"/>
      <c r="H685" s="45"/>
      <c r="I685" s="54"/>
      <c r="J685" s="45"/>
      <c r="K685" s="54"/>
      <c r="L685" s="45"/>
    </row>
    <row r="686" spans="1:12" s="46" customFormat="1" ht="15">
      <c r="A686" s="29"/>
      <c r="B686" s="29"/>
      <c r="C686" s="29"/>
      <c r="D686" s="29"/>
      <c r="E686" s="29"/>
      <c r="F686" s="29"/>
      <c r="G686" s="27"/>
      <c r="H686" s="45"/>
      <c r="I686" s="54"/>
      <c r="J686" s="45"/>
      <c r="K686" s="54"/>
      <c r="L686" s="45"/>
    </row>
    <row r="687" spans="1:12" s="46" customFormat="1" ht="15">
      <c r="A687" s="29"/>
      <c r="B687" s="29"/>
      <c r="C687" s="29"/>
      <c r="D687" s="29"/>
      <c r="E687" s="29"/>
      <c r="F687" s="29"/>
      <c r="G687" s="27"/>
      <c r="H687" s="45"/>
      <c r="I687" s="54"/>
      <c r="J687" s="45"/>
      <c r="K687" s="54"/>
      <c r="L687" s="45"/>
    </row>
    <row r="688" spans="1:12" s="46" customFormat="1" ht="15">
      <c r="A688" s="29"/>
      <c r="B688" s="29"/>
      <c r="C688" s="29"/>
      <c r="D688" s="29"/>
      <c r="E688" s="29"/>
      <c r="F688" s="29"/>
      <c r="G688" s="27"/>
      <c r="H688" s="45"/>
      <c r="I688" s="54"/>
      <c r="J688" s="45"/>
      <c r="K688" s="54"/>
      <c r="L688" s="45"/>
    </row>
    <row r="689" spans="1:12" s="46" customFormat="1" ht="15">
      <c r="A689" s="29"/>
      <c r="B689" s="29"/>
      <c r="C689" s="29"/>
      <c r="D689" s="29"/>
      <c r="E689" s="29"/>
      <c r="F689" s="29"/>
      <c r="G689" s="27"/>
      <c r="H689" s="45"/>
      <c r="I689" s="54"/>
      <c r="J689" s="45"/>
      <c r="K689" s="54"/>
      <c r="L689" s="45"/>
    </row>
    <row r="690" spans="1:12" s="46" customFormat="1" ht="15">
      <c r="A690" s="29"/>
      <c r="B690" s="29"/>
      <c r="C690" s="29"/>
      <c r="D690" s="29"/>
      <c r="E690" s="29"/>
      <c r="F690" s="29"/>
      <c r="G690" s="27"/>
      <c r="H690" s="45"/>
      <c r="I690" s="54"/>
      <c r="J690" s="45"/>
      <c r="K690" s="54"/>
      <c r="L690" s="45"/>
    </row>
    <row r="691" spans="1:12" s="46" customFormat="1" ht="15">
      <c r="A691" s="29"/>
      <c r="B691" s="29"/>
      <c r="C691" s="29"/>
      <c r="D691" s="29"/>
      <c r="E691" s="29"/>
      <c r="F691" s="29"/>
      <c r="G691" s="27"/>
      <c r="H691" s="45"/>
      <c r="I691" s="54"/>
      <c r="J691" s="45"/>
      <c r="K691" s="54"/>
      <c r="L691" s="45"/>
    </row>
    <row r="692" spans="1:12" s="46" customFormat="1" ht="15">
      <c r="A692" s="29"/>
      <c r="B692" s="29"/>
      <c r="C692" s="29"/>
      <c r="D692" s="29"/>
      <c r="E692" s="29"/>
      <c r="F692" s="29"/>
      <c r="G692" s="27"/>
      <c r="H692" s="45"/>
      <c r="I692" s="54"/>
      <c r="J692" s="45"/>
      <c r="K692" s="54"/>
      <c r="L692" s="45"/>
    </row>
    <row r="693" spans="1:12" s="46" customFormat="1" ht="15">
      <c r="A693" s="29"/>
      <c r="B693" s="29"/>
      <c r="C693" s="29"/>
      <c r="D693" s="29"/>
      <c r="E693" s="29"/>
      <c r="F693" s="29"/>
      <c r="G693" s="27"/>
      <c r="H693" s="45"/>
      <c r="I693" s="54"/>
      <c r="J693" s="45"/>
      <c r="K693" s="54"/>
      <c r="L693" s="45"/>
    </row>
    <row r="694" spans="1:12" s="46" customFormat="1" ht="15">
      <c r="A694" s="29"/>
      <c r="B694" s="29"/>
      <c r="C694" s="29"/>
      <c r="D694" s="29"/>
      <c r="E694" s="29"/>
      <c r="F694" s="29"/>
      <c r="G694" s="27"/>
      <c r="H694" s="45"/>
      <c r="I694" s="54"/>
      <c r="J694" s="45"/>
      <c r="K694" s="54"/>
      <c r="L694" s="45"/>
    </row>
    <row r="695" spans="1:12" s="46" customFormat="1" ht="15">
      <c r="A695" s="29"/>
      <c r="B695" s="29"/>
      <c r="C695" s="29"/>
      <c r="D695" s="29"/>
      <c r="E695" s="29"/>
      <c r="F695" s="29"/>
      <c r="G695" s="27"/>
      <c r="H695" s="45"/>
      <c r="I695" s="54"/>
      <c r="J695" s="45"/>
      <c r="K695" s="54"/>
      <c r="L695" s="45"/>
    </row>
    <row r="696" spans="1:12" s="46" customFormat="1" ht="15">
      <c r="A696" s="29"/>
      <c r="B696" s="29"/>
      <c r="C696" s="29"/>
      <c r="D696" s="29"/>
      <c r="E696" s="29"/>
      <c r="F696" s="29"/>
      <c r="G696" s="27"/>
      <c r="H696" s="45"/>
      <c r="I696" s="54"/>
      <c r="J696" s="45"/>
      <c r="K696" s="54"/>
      <c r="L696" s="45"/>
    </row>
    <row r="697" spans="1:12" s="46" customFormat="1" ht="15">
      <c r="A697" s="29"/>
      <c r="B697" s="29"/>
      <c r="C697" s="29"/>
      <c r="D697" s="29"/>
      <c r="E697" s="29"/>
      <c r="F697" s="29"/>
      <c r="G697" s="27"/>
      <c r="H697" s="45"/>
      <c r="I697" s="54"/>
      <c r="J697" s="45"/>
      <c r="K697" s="54"/>
      <c r="L697" s="45"/>
    </row>
    <row r="698" spans="1:12" s="46" customFormat="1" ht="15">
      <c r="A698" s="29"/>
      <c r="B698" s="29"/>
      <c r="C698" s="29"/>
      <c r="D698" s="29"/>
      <c r="E698" s="29"/>
      <c r="F698" s="29"/>
      <c r="G698" s="27"/>
      <c r="H698" s="45"/>
      <c r="I698" s="54"/>
      <c r="J698" s="45"/>
      <c r="K698" s="54"/>
      <c r="L698" s="45"/>
    </row>
    <row r="699" spans="1:12" s="46" customFormat="1" ht="15">
      <c r="A699" s="29"/>
      <c r="B699" s="29"/>
      <c r="C699" s="29"/>
      <c r="D699" s="29"/>
      <c r="E699" s="29"/>
      <c r="F699" s="29"/>
      <c r="G699" s="27"/>
      <c r="H699" s="45"/>
      <c r="I699" s="54"/>
      <c r="J699" s="45"/>
      <c r="K699" s="54"/>
      <c r="L699" s="45"/>
    </row>
    <row r="700" spans="1:12" s="46" customFormat="1" ht="15">
      <c r="A700" s="29"/>
      <c r="B700" s="29"/>
      <c r="C700" s="29"/>
      <c r="D700" s="29"/>
      <c r="E700" s="29"/>
      <c r="F700" s="29"/>
      <c r="G700" s="27"/>
      <c r="H700" s="45"/>
      <c r="I700" s="54"/>
      <c r="J700" s="45"/>
      <c r="K700" s="54"/>
      <c r="L700" s="45"/>
    </row>
    <row r="701" spans="1:12" s="46" customFormat="1" ht="15">
      <c r="A701" s="29"/>
      <c r="B701" s="29"/>
      <c r="C701" s="29"/>
      <c r="D701" s="29"/>
      <c r="E701" s="29"/>
      <c r="F701" s="29"/>
      <c r="G701" s="27"/>
      <c r="H701" s="45"/>
      <c r="I701" s="54"/>
      <c r="J701" s="45"/>
      <c r="K701" s="54"/>
      <c r="L701" s="45"/>
    </row>
    <row r="702" spans="1:12" s="46" customFormat="1" ht="15">
      <c r="A702" s="29"/>
      <c r="B702" s="29"/>
      <c r="C702" s="29"/>
      <c r="D702" s="29"/>
      <c r="E702" s="29"/>
      <c r="F702" s="29"/>
      <c r="G702" s="27"/>
      <c r="H702" s="45"/>
      <c r="I702" s="54"/>
      <c r="J702" s="45"/>
      <c r="K702" s="54"/>
      <c r="L702" s="45"/>
    </row>
    <row r="703" spans="1:12" s="46" customFormat="1" ht="15">
      <c r="A703" s="29"/>
      <c r="B703" s="29"/>
      <c r="C703" s="29"/>
      <c r="D703" s="29"/>
      <c r="E703" s="29"/>
      <c r="F703" s="29"/>
      <c r="G703" s="27"/>
      <c r="H703" s="45"/>
      <c r="I703" s="54"/>
      <c r="J703" s="45"/>
      <c r="K703" s="54"/>
      <c r="L703" s="45"/>
    </row>
    <row r="704" spans="1:12" s="46" customFormat="1" ht="15">
      <c r="A704" s="29"/>
      <c r="B704" s="29"/>
      <c r="C704" s="29"/>
      <c r="D704" s="29"/>
      <c r="E704" s="29"/>
      <c r="F704" s="29"/>
      <c r="G704" s="27"/>
      <c r="H704" s="45"/>
      <c r="I704" s="54"/>
      <c r="J704" s="45"/>
      <c r="K704" s="54"/>
      <c r="L704" s="45"/>
    </row>
    <row r="705" spans="1:12" s="46" customFormat="1" ht="15">
      <c r="A705" s="29"/>
      <c r="B705" s="29"/>
      <c r="C705" s="29"/>
      <c r="D705" s="29"/>
      <c r="E705" s="29"/>
      <c r="F705" s="29"/>
      <c r="G705" s="27"/>
      <c r="H705" s="45"/>
      <c r="I705" s="54"/>
      <c r="J705" s="45"/>
      <c r="K705" s="54"/>
      <c r="L705" s="45"/>
    </row>
    <row r="706" spans="1:12" s="46" customFormat="1" ht="15">
      <c r="A706" s="29"/>
      <c r="B706" s="29"/>
      <c r="C706" s="29"/>
      <c r="D706" s="29"/>
      <c r="E706" s="29"/>
      <c r="F706" s="29"/>
      <c r="G706" s="27"/>
      <c r="H706" s="45"/>
      <c r="I706" s="54"/>
      <c r="J706" s="45"/>
      <c r="K706" s="54"/>
      <c r="L706" s="45"/>
    </row>
    <row r="707" spans="1:12" s="46" customFormat="1" ht="15">
      <c r="A707" s="29"/>
      <c r="B707" s="29"/>
      <c r="C707" s="29"/>
      <c r="D707" s="29"/>
      <c r="E707" s="29"/>
      <c r="F707" s="29"/>
      <c r="G707" s="27"/>
      <c r="H707" s="45"/>
      <c r="I707" s="54"/>
      <c r="J707" s="45"/>
      <c r="K707" s="54"/>
      <c r="L707" s="45"/>
    </row>
    <row r="708" spans="1:12" s="46" customFormat="1" ht="15">
      <c r="A708" s="29"/>
      <c r="B708" s="29"/>
      <c r="C708" s="29"/>
      <c r="D708" s="29"/>
      <c r="E708" s="29"/>
      <c r="F708" s="29"/>
      <c r="G708" s="27"/>
      <c r="H708" s="45"/>
      <c r="I708" s="54"/>
      <c r="J708" s="45"/>
      <c r="K708" s="54"/>
      <c r="L708" s="45"/>
    </row>
    <row r="709" spans="1:12" s="46" customFormat="1" ht="15">
      <c r="A709" s="29"/>
      <c r="B709" s="29"/>
      <c r="C709" s="29"/>
      <c r="D709" s="29"/>
      <c r="E709" s="29"/>
      <c r="F709" s="29"/>
      <c r="G709" s="27"/>
      <c r="H709" s="45"/>
      <c r="I709" s="54"/>
      <c r="J709" s="45"/>
      <c r="K709" s="54"/>
      <c r="L709" s="45"/>
    </row>
    <row r="710" spans="1:12" s="46" customFormat="1" ht="15">
      <c r="A710" s="29"/>
      <c r="B710" s="29"/>
      <c r="C710" s="29"/>
      <c r="D710" s="29"/>
      <c r="E710" s="29"/>
      <c r="F710" s="29"/>
      <c r="G710" s="27"/>
      <c r="H710" s="45"/>
      <c r="I710" s="54"/>
      <c r="J710" s="45"/>
      <c r="K710" s="54"/>
      <c r="L710" s="45"/>
    </row>
    <row r="711" spans="1:12" s="46" customFormat="1" ht="15">
      <c r="A711" s="29"/>
      <c r="B711" s="29"/>
      <c r="C711" s="29"/>
      <c r="D711" s="29"/>
      <c r="E711" s="29"/>
      <c r="F711" s="29"/>
      <c r="G711" s="27"/>
      <c r="H711" s="45"/>
      <c r="I711" s="54"/>
      <c r="J711" s="45"/>
      <c r="K711" s="54"/>
      <c r="L711" s="45"/>
    </row>
    <row r="712" spans="1:12" s="46" customFormat="1" ht="15">
      <c r="A712" s="29"/>
      <c r="B712" s="29"/>
      <c r="C712" s="29"/>
      <c r="D712" s="29"/>
      <c r="E712" s="29"/>
      <c r="F712" s="29"/>
      <c r="G712" s="27"/>
      <c r="H712" s="45"/>
      <c r="I712" s="54"/>
      <c r="J712" s="45"/>
      <c r="K712" s="54"/>
      <c r="L712" s="45"/>
    </row>
    <row r="713" spans="1:12" s="46" customFormat="1" ht="15">
      <c r="A713" s="29"/>
      <c r="B713" s="29"/>
      <c r="C713" s="29"/>
      <c r="D713" s="29"/>
      <c r="E713" s="29"/>
      <c r="F713" s="29"/>
      <c r="G713" s="27"/>
      <c r="H713" s="45"/>
      <c r="I713" s="54"/>
      <c r="J713" s="45"/>
      <c r="K713" s="54"/>
      <c r="L713" s="45"/>
    </row>
    <row r="714" spans="1:12" s="46" customFormat="1" ht="15">
      <c r="A714" s="29"/>
      <c r="B714" s="29"/>
      <c r="C714" s="29"/>
      <c r="D714" s="29"/>
      <c r="E714" s="29"/>
      <c r="F714" s="29"/>
      <c r="G714" s="27"/>
      <c r="H714" s="45"/>
      <c r="I714" s="54"/>
      <c r="J714" s="45"/>
      <c r="K714" s="54"/>
      <c r="L714" s="45"/>
    </row>
    <row r="715" spans="1:12" s="46" customFormat="1" ht="15">
      <c r="A715" s="29"/>
      <c r="B715" s="29"/>
      <c r="C715" s="29"/>
      <c r="D715" s="29"/>
      <c r="E715" s="29"/>
      <c r="F715" s="29"/>
      <c r="G715" s="27"/>
      <c r="H715" s="45"/>
      <c r="I715" s="54"/>
      <c r="J715" s="45"/>
      <c r="K715" s="54"/>
      <c r="L715" s="45"/>
    </row>
    <row r="716" spans="1:12" s="46" customFormat="1" ht="15">
      <c r="A716" s="29"/>
      <c r="B716" s="29"/>
      <c r="C716" s="29"/>
      <c r="D716" s="29"/>
      <c r="E716" s="29"/>
      <c r="F716" s="29"/>
      <c r="G716" s="27"/>
      <c r="H716" s="45"/>
      <c r="I716" s="54"/>
      <c r="J716" s="45"/>
      <c r="K716" s="54"/>
      <c r="L716" s="45"/>
    </row>
    <row r="717" spans="1:12" s="46" customFormat="1" ht="15">
      <c r="A717" s="29"/>
      <c r="B717" s="29"/>
      <c r="C717" s="29"/>
      <c r="D717" s="29"/>
      <c r="E717" s="29"/>
      <c r="F717" s="29"/>
      <c r="G717" s="27"/>
      <c r="H717" s="45"/>
      <c r="I717" s="54"/>
      <c r="J717" s="45"/>
      <c r="K717" s="54"/>
      <c r="L717" s="45"/>
    </row>
    <row r="718" spans="1:12" s="46" customFormat="1" ht="15">
      <c r="A718" s="29"/>
      <c r="B718" s="29"/>
      <c r="C718" s="29"/>
      <c r="D718" s="29"/>
      <c r="E718" s="29"/>
      <c r="F718" s="29"/>
      <c r="G718" s="27"/>
      <c r="H718" s="45"/>
      <c r="I718" s="54"/>
      <c r="J718" s="45"/>
      <c r="K718" s="54"/>
      <c r="L718" s="45"/>
    </row>
    <row r="719" spans="1:12" s="46" customFormat="1" ht="15">
      <c r="A719" s="29"/>
      <c r="B719" s="29"/>
      <c r="C719" s="29"/>
      <c r="D719" s="29"/>
      <c r="E719" s="29"/>
      <c r="F719" s="29"/>
      <c r="G719" s="27"/>
      <c r="H719" s="45"/>
      <c r="I719" s="54"/>
      <c r="J719" s="45"/>
      <c r="K719" s="54"/>
      <c r="L719" s="45"/>
    </row>
    <row r="720" spans="1:12" s="46" customFormat="1" ht="15">
      <c r="A720" s="29"/>
      <c r="B720" s="29"/>
      <c r="C720" s="29"/>
      <c r="D720" s="29"/>
      <c r="E720" s="29"/>
      <c r="F720" s="29"/>
      <c r="G720" s="27"/>
      <c r="H720" s="45"/>
      <c r="I720" s="54"/>
      <c r="J720" s="45"/>
      <c r="K720" s="54"/>
      <c r="L720" s="45"/>
    </row>
    <row r="721" spans="1:12" s="46" customFormat="1" ht="15">
      <c r="A721" s="29"/>
      <c r="B721" s="29"/>
      <c r="C721" s="29"/>
      <c r="D721" s="29"/>
      <c r="E721" s="29"/>
      <c r="F721" s="29"/>
      <c r="G721" s="27"/>
      <c r="H721" s="45"/>
      <c r="I721" s="54"/>
      <c r="J721" s="45"/>
      <c r="K721" s="54"/>
      <c r="L721" s="45"/>
    </row>
    <row r="722" spans="1:12" s="46" customFormat="1" ht="15">
      <c r="A722" s="29"/>
      <c r="B722" s="29"/>
      <c r="C722" s="29"/>
      <c r="D722" s="29"/>
      <c r="E722" s="29"/>
      <c r="F722" s="29"/>
      <c r="G722" s="27"/>
      <c r="H722" s="45"/>
      <c r="I722" s="54"/>
      <c r="J722" s="45"/>
      <c r="K722" s="54"/>
      <c r="L722" s="45"/>
    </row>
    <row r="723" spans="1:12" s="46" customFormat="1" ht="15">
      <c r="A723" s="29"/>
      <c r="B723" s="29"/>
      <c r="C723" s="29"/>
      <c r="D723" s="29"/>
      <c r="E723" s="29"/>
      <c r="F723" s="29"/>
      <c r="G723" s="27"/>
      <c r="H723" s="45"/>
      <c r="I723" s="54"/>
      <c r="J723" s="45"/>
      <c r="K723" s="54"/>
      <c r="L723" s="45"/>
    </row>
    <row r="724" spans="1:12" s="46" customFormat="1" ht="15">
      <c r="A724" s="29"/>
      <c r="B724" s="29"/>
      <c r="C724" s="29"/>
      <c r="D724" s="29"/>
      <c r="E724" s="29"/>
      <c r="F724" s="29"/>
      <c r="G724" s="27"/>
      <c r="H724" s="45"/>
      <c r="I724" s="54"/>
      <c r="J724" s="45"/>
      <c r="K724" s="54"/>
      <c r="L724" s="45"/>
    </row>
    <row r="725" spans="1:12" s="46" customFormat="1" ht="15">
      <c r="A725" s="29"/>
      <c r="B725" s="29"/>
      <c r="C725" s="29"/>
      <c r="D725" s="29"/>
      <c r="E725" s="29"/>
      <c r="F725" s="29"/>
      <c r="G725" s="27"/>
      <c r="H725" s="45"/>
      <c r="I725" s="54"/>
      <c r="J725" s="45"/>
      <c r="K725" s="54"/>
      <c r="L725" s="45"/>
    </row>
    <row r="726" spans="1:12" s="46" customFormat="1" ht="15">
      <c r="A726" s="29"/>
      <c r="B726" s="29"/>
      <c r="C726" s="29"/>
      <c r="D726" s="29"/>
      <c r="E726" s="29"/>
      <c r="F726" s="29"/>
      <c r="G726" s="27"/>
      <c r="H726" s="45"/>
      <c r="I726" s="54"/>
      <c r="J726" s="45"/>
      <c r="K726" s="54"/>
      <c r="L726" s="45"/>
    </row>
    <row r="727" spans="1:12" s="46" customFormat="1" ht="15">
      <c r="A727" s="29"/>
      <c r="B727" s="29"/>
      <c r="C727" s="29"/>
      <c r="D727" s="29"/>
      <c r="E727" s="29"/>
      <c r="F727" s="29"/>
      <c r="G727" s="27"/>
      <c r="H727" s="45"/>
      <c r="I727" s="54"/>
      <c r="J727" s="45"/>
      <c r="K727" s="54"/>
      <c r="L727" s="45"/>
    </row>
    <row r="728" spans="1:12" s="46" customFormat="1" ht="15">
      <c r="A728" s="29"/>
      <c r="B728" s="29"/>
      <c r="C728" s="29"/>
      <c r="D728" s="29"/>
      <c r="E728" s="29"/>
      <c r="F728" s="29"/>
      <c r="G728" s="27"/>
      <c r="H728" s="45"/>
      <c r="I728" s="54"/>
      <c r="J728" s="45"/>
      <c r="K728" s="54"/>
      <c r="L728" s="45"/>
    </row>
    <row r="729" spans="1:12" s="46" customFormat="1" ht="15">
      <c r="A729" s="29"/>
      <c r="B729" s="29"/>
      <c r="C729" s="29"/>
      <c r="D729" s="29"/>
      <c r="E729" s="29"/>
      <c r="F729" s="29"/>
      <c r="G729" s="27"/>
      <c r="H729" s="45"/>
      <c r="I729" s="54"/>
      <c r="J729" s="45"/>
      <c r="K729" s="54"/>
      <c r="L729" s="45"/>
    </row>
    <row r="730" spans="1:12" s="46" customFormat="1" ht="15">
      <c r="A730" s="29"/>
      <c r="B730" s="29"/>
      <c r="C730" s="29"/>
      <c r="D730" s="29"/>
      <c r="E730" s="29"/>
      <c r="F730" s="29"/>
      <c r="G730" s="27"/>
      <c r="H730" s="45"/>
      <c r="I730" s="54"/>
      <c r="J730" s="45"/>
      <c r="K730" s="54"/>
      <c r="L730" s="45"/>
    </row>
    <row r="731" spans="1:12" s="46" customFormat="1" ht="15">
      <c r="A731" s="29"/>
      <c r="B731" s="29"/>
      <c r="C731" s="29"/>
      <c r="D731" s="29"/>
      <c r="E731" s="29"/>
      <c r="F731" s="29"/>
      <c r="G731" s="27"/>
      <c r="H731" s="45"/>
      <c r="I731" s="54"/>
      <c r="J731" s="45"/>
      <c r="K731" s="54"/>
      <c r="L731" s="45"/>
    </row>
    <row r="732" spans="1:12" s="46" customFormat="1" ht="15">
      <c r="A732" s="29"/>
      <c r="B732" s="29"/>
      <c r="C732" s="29"/>
      <c r="D732" s="29"/>
      <c r="E732" s="29"/>
      <c r="F732" s="29"/>
      <c r="G732" s="27"/>
      <c r="H732" s="45"/>
      <c r="I732" s="54"/>
      <c r="J732" s="45"/>
      <c r="K732" s="54"/>
      <c r="L732" s="45"/>
    </row>
    <row r="733" spans="1:12" s="46" customFormat="1" ht="15">
      <c r="A733" s="29"/>
      <c r="B733" s="29"/>
      <c r="C733" s="29"/>
      <c r="D733" s="29"/>
      <c r="E733" s="29"/>
      <c r="F733" s="29"/>
      <c r="G733" s="27"/>
      <c r="H733" s="45"/>
      <c r="I733" s="54"/>
      <c r="J733" s="45"/>
      <c r="K733" s="54"/>
      <c r="L733" s="45"/>
    </row>
    <row r="734" spans="1:12" s="46" customFormat="1" ht="15">
      <c r="A734" s="29"/>
      <c r="B734" s="29"/>
      <c r="C734" s="29"/>
      <c r="D734" s="29"/>
      <c r="E734" s="29"/>
      <c r="F734" s="29"/>
      <c r="G734" s="27"/>
      <c r="H734" s="45"/>
      <c r="I734" s="54"/>
      <c r="J734" s="45"/>
      <c r="K734" s="54"/>
      <c r="L734" s="45"/>
    </row>
    <row r="735" spans="1:12" s="46" customFormat="1" ht="15">
      <c r="A735" s="29"/>
      <c r="B735" s="29"/>
      <c r="C735" s="29"/>
      <c r="D735" s="29"/>
      <c r="E735" s="29"/>
      <c r="F735" s="29"/>
      <c r="G735" s="27"/>
      <c r="H735" s="45"/>
      <c r="I735" s="54"/>
      <c r="J735" s="45"/>
      <c r="K735" s="54"/>
      <c r="L735" s="45"/>
    </row>
    <row r="736" spans="1:12" s="46" customFormat="1" ht="15">
      <c r="A736" s="29"/>
      <c r="B736" s="29"/>
      <c r="C736" s="29"/>
      <c r="D736" s="29"/>
      <c r="E736" s="29"/>
      <c r="F736" s="29"/>
      <c r="G736" s="27"/>
      <c r="H736" s="45"/>
      <c r="I736" s="54"/>
      <c r="J736" s="45"/>
      <c r="K736" s="54"/>
      <c r="L736" s="45"/>
    </row>
    <row r="737" spans="1:12" s="46" customFormat="1" ht="15">
      <c r="A737" s="29"/>
      <c r="B737" s="29"/>
      <c r="C737" s="29"/>
      <c r="D737" s="29"/>
      <c r="E737" s="29"/>
      <c r="F737" s="29"/>
      <c r="G737" s="27"/>
      <c r="H737" s="45"/>
      <c r="I737" s="54"/>
      <c r="J737" s="45"/>
      <c r="K737" s="54"/>
      <c r="L737" s="45"/>
    </row>
    <row r="738" spans="1:12" s="46" customFormat="1" ht="15">
      <c r="A738" s="29"/>
      <c r="B738" s="29"/>
      <c r="C738" s="29"/>
      <c r="D738" s="29"/>
      <c r="E738" s="29"/>
      <c r="F738" s="29"/>
      <c r="G738" s="27"/>
      <c r="H738" s="45"/>
      <c r="I738" s="54"/>
      <c r="J738" s="45"/>
      <c r="K738" s="54"/>
      <c r="L738" s="45"/>
    </row>
    <row r="739" spans="1:12" s="46" customFormat="1" ht="15">
      <c r="A739" s="29"/>
      <c r="B739" s="29"/>
      <c r="C739" s="29"/>
      <c r="D739" s="29"/>
      <c r="E739" s="29"/>
      <c r="F739" s="29"/>
      <c r="G739" s="27"/>
      <c r="H739" s="45"/>
      <c r="I739" s="54"/>
      <c r="J739" s="45"/>
      <c r="K739" s="54"/>
      <c r="L739" s="45"/>
    </row>
    <row r="740" spans="1:12" s="46" customFormat="1" ht="15">
      <c r="A740" s="29"/>
      <c r="B740" s="29"/>
      <c r="C740" s="29"/>
      <c r="D740" s="29"/>
      <c r="E740" s="29"/>
      <c r="F740" s="29"/>
      <c r="G740" s="27"/>
      <c r="H740" s="45"/>
      <c r="I740" s="54"/>
      <c r="J740" s="45"/>
      <c r="K740" s="54"/>
      <c r="L740" s="45"/>
    </row>
    <row r="741" spans="1:12" s="46" customFormat="1" ht="15">
      <c r="A741" s="29"/>
      <c r="B741" s="29"/>
      <c r="C741" s="29"/>
      <c r="D741" s="29"/>
      <c r="E741" s="29"/>
      <c r="F741" s="29"/>
      <c r="G741" s="27"/>
      <c r="H741" s="45"/>
      <c r="I741" s="54"/>
      <c r="J741" s="45"/>
      <c r="K741" s="54"/>
      <c r="L741" s="45"/>
    </row>
    <row r="742" spans="1:12" s="46" customFormat="1" ht="15">
      <c r="A742" s="29"/>
      <c r="B742" s="29"/>
      <c r="C742" s="29"/>
      <c r="D742" s="29"/>
      <c r="E742" s="29"/>
      <c r="F742" s="29"/>
      <c r="G742" s="27"/>
      <c r="H742" s="45"/>
      <c r="I742" s="54"/>
      <c r="J742" s="45"/>
      <c r="K742" s="54"/>
      <c r="L742" s="45"/>
    </row>
    <row r="743" spans="1:12" s="46" customFormat="1" ht="15">
      <c r="A743" s="29"/>
      <c r="B743" s="29"/>
      <c r="C743" s="29"/>
      <c r="D743" s="29"/>
      <c r="E743" s="29"/>
      <c r="F743" s="29"/>
      <c r="G743" s="27"/>
      <c r="H743" s="45"/>
      <c r="I743" s="54"/>
      <c r="J743" s="45"/>
      <c r="K743" s="54"/>
      <c r="L743" s="45"/>
    </row>
    <row r="744" spans="1:12" s="46" customFormat="1" ht="15">
      <c r="A744" s="29"/>
      <c r="B744" s="29"/>
      <c r="C744" s="29"/>
      <c r="D744" s="29"/>
      <c r="E744" s="29"/>
      <c r="F744" s="29"/>
      <c r="G744" s="27"/>
      <c r="H744" s="45"/>
      <c r="I744" s="54"/>
      <c r="J744" s="45"/>
      <c r="K744" s="54"/>
      <c r="L744" s="45"/>
    </row>
    <row r="745" spans="1:12" s="46" customFormat="1" ht="15">
      <c r="A745" s="29"/>
      <c r="B745" s="29"/>
      <c r="C745" s="29"/>
      <c r="D745" s="29"/>
      <c r="E745" s="29"/>
      <c r="F745" s="29"/>
      <c r="G745" s="27"/>
      <c r="H745" s="45"/>
      <c r="I745" s="54"/>
      <c r="J745" s="45"/>
      <c r="K745" s="54"/>
      <c r="L745" s="45"/>
    </row>
    <row r="746" spans="1:12" s="46" customFormat="1" ht="15">
      <c r="A746" s="29"/>
      <c r="B746" s="29"/>
      <c r="C746" s="29"/>
      <c r="D746" s="29"/>
      <c r="E746" s="29"/>
      <c r="F746" s="29"/>
      <c r="G746" s="27"/>
      <c r="H746" s="45"/>
      <c r="I746" s="54"/>
      <c r="J746" s="45"/>
      <c r="K746" s="54"/>
      <c r="L746" s="45"/>
    </row>
    <row r="747" spans="1:12" s="46" customFormat="1" ht="15">
      <c r="A747" s="29"/>
      <c r="B747" s="29"/>
      <c r="C747" s="29"/>
      <c r="D747" s="29"/>
      <c r="E747" s="29"/>
      <c r="F747" s="29"/>
      <c r="G747" s="27"/>
      <c r="H747" s="45"/>
      <c r="I747" s="54"/>
      <c r="J747" s="45"/>
      <c r="K747" s="54"/>
      <c r="L747" s="45"/>
    </row>
    <row r="748" spans="1:12" s="46" customFormat="1" ht="15">
      <c r="A748" s="29"/>
      <c r="B748" s="29"/>
      <c r="C748" s="29"/>
      <c r="D748" s="29"/>
      <c r="E748" s="29"/>
      <c r="F748" s="29"/>
      <c r="G748" s="27"/>
      <c r="H748" s="45"/>
      <c r="I748" s="54"/>
      <c r="J748" s="45"/>
      <c r="K748" s="54"/>
      <c r="L748" s="45"/>
    </row>
    <row r="749" spans="1:12" s="46" customFormat="1" ht="15">
      <c r="A749" s="29"/>
      <c r="B749" s="29"/>
      <c r="C749" s="29"/>
      <c r="D749" s="29"/>
      <c r="E749" s="29"/>
      <c r="F749" s="29"/>
      <c r="G749" s="27"/>
      <c r="H749" s="45"/>
      <c r="I749" s="54"/>
      <c r="J749" s="45"/>
      <c r="K749" s="54"/>
      <c r="L749" s="45"/>
    </row>
    <row r="750" spans="1:12" s="46" customFormat="1" ht="15">
      <c r="A750" s="29"/>
      <c r="B750" s="29"/>
      <c r="C750" s="29"/>
      <c r="D750" s="29"/>
      <c r="E750" s="29"/>
      <c r="F750" s="29"/>
      <c r="G750" s="27"/>
      <c r="H750" s="45"/>
      <c r="I750" s="54"/>
      <c r="J750" s="45"/>
      <c r="K750" s="54"/>
      <c r="L750" s="45"/>
    </row>
    <row r="751" spans="1:12" s="46" customFormat="1" ht="15">
      <c r="A751" s="29"/>
      <c r="B751" s="29"/>
      <c r="C751" s="29"/>
      <c r="D751" s="29"/>
      <c r="E751" s="29"/>
      <c r="F751" s="29"/>
      <c r="G751" s="27"/>
      <c r="H751" s="45"/>
      <c r="I751" s="54"/>
      <c r="J751" s="45"/>
      <c r="K751" s="54"/>
      <c r="L751" s="45"/>
    </row>
    <row r="752" spans="1:12" s="46" customFormat="1" ht="15">
      <c r="A752" s="29"/>
      <c r="B752" s="29"/>
      <c r="C752" s="29"/>
      <c r="D752" s="29"/>
      <c r="E752" s="29"/>
      <c r="F752" s="29"/>
      <c r="G752" s="27"/>
      <c r="H752" s="45"/>
      <c r="I752" s="54"/>
      <c r="J752" s="45"/>
      <c r="K752" s="54"/>
      <c r="L752" s="45"/>
    </row>
    <row r="753" spans="1:12" s="46" customFormat="1" ht="15">
      <c r="A753" s="29"/>
      <c r="B753" s="29"/>
      <c r="C753" s="29"/>
      <c r="D753" s="29"/>
      <c r="E753" s="29"/>
      <c r="F753" s="29"/>
      <c r="G753" s="27"/>
      <c r="H753" s="45"/>
      <c r="I753" s="54"/>
      <c r="J753" s="45"/>
      <c r="K753" s="54"/>
      <c r="L753" s="45"/>
    </row>
    <row r="754" spans="1:12" s="46" customFormat="1" ht="15">
      <c r="A754" s="29"/>
      <c r="B754" s="29"/>
      <c r="C754" s="29"/>
      <c r="D754" s="29"/>
      <c r="E754" s="29"/>
      <c r="F754" s="29"/>
      <c r="G754" s="27"/>
      <c r="H754" s="45"/>
      <c r="I754" s="54"/>
      <c r="J754" s="45"/>
      <c r="K754" s="54"/>
      <c r="L754" s="45"/>
    </row>
    <row r="755" spans="1:12" s="46" customFormat="1" ht="15">
      <c r="A755" s="29"/>
      <c r="B755" s="29"/>
      <c r="C755" s="29"/>
      <c r="D755" s="29"/>
      <c r="E755" s="29"/>
      <c r="F755" s="29"/>
      <c r="G755" s="27"/>
      <c r="H755" s="45"/>
      <c r="I755" s="54"/>
      <c r="J755" s="45"/>
      <c r="K755" s="54"/>
      <c r="L755" s="45"/>
    </row>
    <row r="756" spans="1:12" s="46" customFormat="1" ht="15">
      <c r="A756" s="29"/>
      <c r="B756" s="29"/>
      <c r="C756" s="29"/>
      <c r="D756" s="29"/>
      <c r="E756" s="29"/>
      <c r="F756" s="29"/>
      <c r="G756" s="27"/>
      <c r="H756" s="45"/>
      <c r="I756" s="54"/>
      <c r="J756" s="45"/>
      <c r="K756" s="54"/>
      <c r="L756" s="45"/>
    </row>
    <row r="757" spans="1:12" s="46" customFormat="1" ht="15">
      <c r="A757" s="29"/>
      <c r="B757" s="29"/>
      <c r="C757" s="29"/>
      <c r="D757" s="29"/>
      <c r="E757" s="29"/>
      <c r="F757" s="29"/>
      <c r="G757" s="27"/>
      <c r="H757" s="45"/>
      <c r="I757" s="54"/>
      <c r="J757" s="45"/>
      <c r="K757" s="54"/>
      <c r="L757" s="45"/>
    </row>
    <row r="758" spans="1:12" s="46" customFormat="1" ht="15">
      <c r="A758" s="29"/>
      <c r="B758" s="29"/>
      <c r="C758" s="29"/>
      <c r="D758" s="29"/>
      <c r="E758" s="29"/>
      <c r="F758" s="29"/>
      <c r="G758" s="27"/>
      <c r="H758" s="45"/>
      <c r="I758" s="54"/>
      <c r="J758" s="45"/>
      <c r="K758" s="54"/>
      <c r="L758" s="45"/>
    </row>
    <row r="759" spans="1:12" s="46" customFormat="1" ht="15">
      <c r="A759" s="29"/>
      <c r="B759" s="29"/>
      <c r="C759" s="29"/>
      <c r="D759" s="29"/>
      <c r="E759" s="29"/>
      <c r="F759" s="29"/>
      <c r="G759" s="27"/>
      <c r="H759" s="45"/>
      <c r="I759" s="54"/>
      <c r="J759" s="45"/>
      <c r="K759" s="54"/>
      <c r="L759" s="45"/>
    </row>
    <row r="760" spans="1:12" s="46" customFormat="1" ht="15">
      <c r="A760" s="29"/>
      <c r="B760" s="29"/>
      <c r="C760" s="29"/>
      <c r="D760" s="29"/>
      <c r="E760" s="29"/>
      <c r="F760" s="29"/>
      <c r="G760" s="27"/>
      <c r="H760" s="45"/>
      <c r="I760" s="54"/>
      <c r="J760" s="45"/>
      <c r="K760" s="54"/>
      <c r="L760" s="45"/>
    </row>
    <row r="761" spans="1:12" s="46" customFormat="1" ht="15">
      <c r="A761" s="29"/>
      <c r="B761" s="29"/>
      <c r="C761" s="29"/>
      <c r="D761" s="29"/>
      <c r="E761" s="29"/>
      <c r="F761" s="29"/>
      <c r="G761" s="27"/>
      <c r="H761" s="45"/>
      <c r="I761" s="54"/>
      <c r="J761" s="45"/>
      <c r="K761" s="54"/>
      <c r="L761" s="45"/>
    </row>
    <row r="762" spans="1:12" s="46" customFormat="1" ht="15">
      <c r="A762" s="29"/>
      <c r="B762" s="29"/>
      <c r="C762" s="29"/>
      <c r="D762" s="29"/>
      <c r="E762" s="29"/>
      <c r="F762" s="29"/>
      <c r="G762" s="27"/>
      <c r="H762" s="45"/>
      <c r="I762" s="54"/>
      <c r="J762" s="45"/>
      <c r="K762" s="54"/>
      <c r="L762" s="45"/>
    </row>
    <row r="763" spans="1:12" s="46" customFormat="1" ht="15">
      <c r="A763" s="29"/>
      <c r="B763" s="29"/>
      <c r="C763" s="29"/>
      <c r="D763" s="29"/>
      <c r="E763" s="29"/>
      <c r="F763" s="29"/>
      <c r="G763" s="27"/>
      <c r="H763" s="45"/>
      <c r="I763" s="54"/>
      <c r="J763" s="45"/>
      <c r="K763" s="54"/>
      <c r="L763" s="45"/>
    </row>
    <row r="764" spans="1:12" s="46" customFormat="1" ht="15">
      <c r="A764" s="29"/>
      <c r="B764" s="29"/>
      <c r="C764" s="29"/>
      <c r="D764" s="29"/>
      <c r="E764" s="29"/>
      <c r="F764" s="29"/>
      <c r="G764" s="27"/>
      <c r="H764" s="45"/>
      <c r="I764" s="54"/>
      <c r="J764" s="45"/>
      <c r="K764" s="54"/>
      <c r="L764" s="45"/>
    </row>
    <row r="765" spans="1:12" s="46" customFormat="1" ht="15">
      <c r="A765" s="29"/>
      <c r="B765" s="29"/>
      <c r="C765" s="29"/>
      <c r="D765" s="29"/>
      <c r="E765" s="29"/>
      <c r="F765" s="29"/>
      <c r="G765" s="27"/>
      <c r="H765" s="45"/>
      <c r="I765" s="54"/>
      <c r="J765" s="45"/>
      <c r="K765" s="54"/>
      <c r="L765" s="45"/>
    </row>
    <row r="766" spans="1:12" s="46" customFormat="1" ht="15">
      <c r="A766" s="29"/>
      <c r="B766" s="29"/>
      <c r="C766" s="29"/>
      <c r="D766" s="29"/>
      <c r="E766" s="29"/>
      <c r="F766" s="29"/>
      <c r="G766" s="27"/>
      <c r="H766" s="45"/>
      <c r="I766" s="54"/>
      <c r="J766" s="45"/>
      <c r="K766" s="54"/>
      <c r="L766" s="45"/>
    </row>
    <row r="767" spans="1:12" s="46" customFormat="1" ht="15">
      <c r="A767" s="29"/>
      <c r="B767" s="29"/>
      <c r="C767" s="29"/>
      <c r="D767" s="29"/>
      <c r="E767" s="29"/>
      <c r="F767" s="29"/>
      <c r="G767" s="27"/>
      <c r="H767" s="45"/>
      <c r="I767" s="54"/>
      <c r="J767" s="45"/>
      <c r="K767" s="54"/>
      <c r="L767" s="45"/>
    </row>
    <row r="768" spans="1:12" s="46" customFormat="1" ht="15">
      <c r="A768" s="29"/>
      <c r="B768" s="29"/>
      <c r="C768" s="29"/>
      <c r="D768" s="29"/>
      <c r="E768" s="29"/>
      <c r="F768" s="29"/>
      <c r="G768" s="27"/>
      <c r="H768" s="45"/>
      <c r="I768" s="54"/>
      <c r="J768" s="45"/>
      <c r="K768" s="54"/>
      <c r="L768" s="45"/>
    </row>
    <row r="769" spans="1:12" s="46" customFormat="1" ht="15">
      <c r="A769" s="29"/>
      <c r="B769" s="29"/>
      <c r="C769" s="29"/>
      <c r="D769" s="29"/>
      <c r="E769" s="29"/>
      <c r="F769" s="29"/>
      <c r="G769" s="27"/>
      <c r="H769" s="45"/>
      <c r="I769" s="54"/>
      <c r="J769" s="45"/>
      <c r="K769" s="54"/>
      <c r="L769" s="45"/>
    </row>
    <row r="770" spans="1:12" s="46" customFormat="1" ht="15">
      <c r="A770" s="29"/>
      <c r="B770" s="29"/>
      <c r="C770" s="29"/>
      <c r="D770" s="29"/>
      <c r="E770" s="29"/>
      <c r="F770" s="29"/>
      <c r="G770" s="27"/>
      <c r="H770" s="45"/>
      <c r="I770" s="54"/>
      <c r="J770" s="45"/>
      <c r="K770" s="54"/>
      <c r="L770" s="45"/>
    </row>
    <row r="771" spans="1:12" s="46" customFormat="1" ht="15">
      <c r="A771" s="29"/>
      <c r="B771" s="29"/>
      <c r="C771" s="29"/>
      <c r="D771" s="29"/>
      <c r="E771" s="29"/>
      <c r="F771" s="29"/>
      <c r="G771" s="27"/>
      <c r="H771" s="45"/>
      <c r="I771" s="54"/>
      <c r="J771" s="45"/>
      <c r="K771" s="54"/>
      <c r="L771" s="45"/>
    </row>
    <row r="772" spans="1:12" s="46" customFormat="1" ht="15">
      <c r="A772" s="29"/>
      <c r="B772" s="29"/>
      <c r="C772" s="29"/>
      <c r="D772" s="29"/>
      <c r="E772" s="29"/>
      <c r="F772" s="29"/>
      <c r="G772" s="27"/>
      <c r="H772" s="45"/>
      <c r="I772" s="54"/>
      <c r="J772" s="45"/>
      <c r="K772" s="54"/>
      <c r="L772" s="45"/>
    </row>
    <row r="773" spans="1:12" s="46" customFormat="1" ht="15">
      <c r="A773" s="29"/>
      <c r="B773" s="29"/>
      <c r="C773" s="29"/>
      <c r="D773" s="29"/>
      <c r="E773" s="29"/>
      <c r="F773" s="29"/>
      <c r="G773" s="27"/>
      <c r="H773" s="45"/>
      <c r="I773" s="54"/>
      <c r="J773" s="45"/>
      <c r="K773" s="54"/>
      <c r="L773" s="45"/>
    </row>
    <row r="774" spans="1:12" s="46" customFormat="1" ht="15">
      <c r="A774" s="29"/>
      <c r="B774" s="29"/>
      <c r="C774" s="29"/>
      <c r="D774" s="29"/>
      <c r="E774" s="29"/>
      <c r="F774" s="29"/>
      <c r="G774" s="27"/>
      <c r="H774" s="45"/>
      <c r="I774" s="54"/>
      <c r="J774" s="45"/>
      <c r="K774" s="54"/>
      <c r="L774" s="45"/>
    </row>
    <row r="775" spans="1:12" s="46" customFormat="1" ht="15">
      <c r="A775" s="29"/>
      <c r="B775" s="29"/>
      <c r="C775" s="29"/>
      <c r="D775" s="29"/>
      <c r="E775" s="29"/>
      <c r="F775" s="29"/>
      <c r="G775" s="27"/>
      <c r="H775" s="45"/>
      <c r="I775" s="54"/>
      <c r="J775" s="45"/>
      <c r="K775" s="54"/>
      <c r="L775" s="45"/>
    </row>
    <row r="776" spans="1:12" s="46" customFormat="1" ht="15">
      <c r="A776" s="29"/>
      <c r="B776" s="29"/>
      <c r="C776" s="29"/>
      <c r="D776" s="29"/>
      <c r="E776" s="29"/>
      <c r="F776" s="29"/>
      <c r="G776" s="27"/>
      <c r="H776" s="45"/>
      <c r="I776" s="54"/>
      <c r="J776" s="45"/>
      <c r="K776" s="54"/>
      <c r="L776" s="45"/>
    </row>
    <row r="777" spans="1:12" s="46" customFormat="1" ht="15">
      <c r="A777" s="29"/>
      <c r="B777" s="29"/>
      <c r="C777" s="29"/>
      <c r="D777" s="29"/>
      <c r="E777" s="29"/>
      <c r="F777" s="29"/>
      <c r="G777" s="27"/>
      <c r="H777" s="45"/>
      <c r="I777" s="54"/>
      <c r="J777" s="45"/>
      <c r="K777" s="54"/>
      <c r="L777" s="45"/>
    </row>
    <row r="778" spans="1:12" s="46" customFormat="1" ht="15">
      <c r="A778" s="29"/>
      <c r="B778" s="29"/>
      <c r="C778" s="29"/>
      <c r="D778" s="29"/>
      <c r="E778" s="29"/>
      <c r="F778" s="29"/>
      <c r="G778" s="27"/>
      <c r="H778" s="45"/>
      <c r="I778" s="54"/>
      <c r="J778" s="45"/>
      <c r="K778" s="54"/>
      <c r="L778" s="45"/>
    </row>
    <row r="779" spans="1:12" s="46" customFormat="1" ht="15">
      <c r="A779" s="29"/>
      <c r="B779" s="29"/>
      <c r="C779" s="29"/>
      <c r="D779" s="29"/>
      <c r="E779" s="29"/>
      <c r="F779" s="29"/>
      <c r="G779" s="27"/>
      <c r="H779" s="45"/>
      <c r="I779" s="54"/>
      <c r="J779" s="45"/>
      <c r="K779" s="54"/>
      <c r="L779" s="45"/>
    </row>
    <row r="780" spans="1:12" s="46" customFormat="1" ht="15">
      <c r="A780" s="29"/>
      <c r="B780" s="29"/>
      <c r="C780" s="29"/>
      <c r="D780" s="29"/>
      <c r="E780" s="29"/>
      <c r="F780" s="29"/>
      <c r="G780" s="27"/>
      <c r="H780" s="45"/>
      <c r="I780" s="54"/>
      <c r="J780" s="45"/>
      <c r="K780" s="54"/>
      <c r="L780" s="45"/>
    </row>
    <row r="781" spans="1:12" s="46" customFormat="1" ht="15">
      <c r="A781" s="29"/>
      <c r="B781" s="29"/>
      <c r="C781" s="29"/>
      <c r="D781" s="29"/>
      <c r="E781" s="29"/>
      <c r="F781" s="29"/>
      <c r="G781" s="16"/>
      <c r="H781" s="45"/>
      <c r="I781" s="45"/>
      <c r="J781" s="45"/>
      <c r="K781" s="45"/>
      <c r="L781" s="45"/>
    </row>
  </sheetData>
  <sheetProtection/>
  <mergeCells count="12">
    <mergeCell ref="A3:L3"/>
    <mergeCell ref="J1:L1"/>
    <mergeCell ref="J2:L2"/>
    <mergeCell ref="B5:F5"/>
    <mergeCell ref="K5:K7"/>
    <mergeCell ref="L5:L7"/>
    <mergeCell ref="G5:G7"/>
    <mergeCell ref="H5:H7"/>
    <mergeCell ref="B6:F6"/>
    <mergeCell ref="I5:I7"/>
    <mergeCell ref="J5:J7"/>
    <mergeCell ref="A5:A7"/>
  </mergeCells>
  <printOptions/>
  <pageMargins left="0.7874015748031497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2013-12-27T08:21:21Z</cp:lastPrinted>
  <dcterms:created xsi:type="dcterms:W3CDTF">1996-10-08T23:32:33Z</dcterms:created>
  <dcterms:modified xsi:type="dcterms:W3CDTF">2013-12-27T08:28:07Z</dcterms:modified>
  <cp:category/>
  <cp:version/>
  <cp:contentType/>
  <cp:contentStatus/>
</cp:coreProperties>
</file>