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45" windowWidth="18195" windowHeight="9555" firstSheet="2" activeTab="3"/>
  </bookViews>
  <sheets>
    <sheet name="прил 10 МП 19г" sheetId="11" r:id="rId1"/>
    <sheet name="прил 12 разд-19г" sheetId="12" r:id="rId2"/>
    <sheet name="прил 14 КЦСР 19" sheetId="14" r:id="rId3"/>
    <sheet name="прил 16  вед стр 19г" sheetId="4" r:id="rId4"/>
    <sheet name="прил 18 БИ (19" sheetId="16" r:id="rId5"/>
    <sheet name="прил 20 дор фонд (19г)" sheetId="23" r:id="rId6"/>
    <sheet name="22 СП-2019" sheetId="18" r:id="rId7"/>
    <sheet name="Лист1" sheetId="15" r:id="rId8"/>
  </sheets>
  <definedNames>
    <definedName name="_xlnm._FilterDatabase" localSheetId="2" hidden="1">'прил 14 КЦСР 19'!$A$7:$I$346</definedName>
    <definedName name="_xlnm._FilterDatabase" localSheetId="3" hidden="1">'прил 16  вед стр 19г'!$A$6:$K$582</definedName>
    <definedName name="В11" localSheetId="6">#REF!</definedName>
    <definedName name="В11" localSheetId="0">#REF!</definedName>
    <definedName name="В11" localSheetId="1">#REF!</definedName>
    <definedName name="В11" localSheetId="2">#REF!</definedName>
    <definedName name="В11" localSheetId="4">#REF!</definedName>
    <definedName name="В11" localSheetId="5">#REF!</definedName>
    <definedName name="В11">#REF!</definedName>
    <definedName name="_xlnm.Print_Titles" localSheetId="2">'прил 14 КЦСР 19'!$8:$8</definedName>
    <definedName name="_xlnm.Print_Titles" localSheetId="3">'прил 16  вед стр 19г'!$7:$7</definedName>
    <definedName name="_xlnm.Print_Area" localSheetId="6">'22 СП-2019'!$C$1:$P$25</definedName>
    <definedName name="_xlnm.Print_Area" localSheetId="0">'прил 10 МП 19г'!$A$1:$E$13</definedName>
    <definedName name="_xlnm.Print_Area" localSheetId="1">'прил 12 разд-19г'!$A$1:$F$67</definedName>
    <definedName name="_xlnm.Print_Area" localSheetId="2">'прил 14 КЦСР 19'!$A$1:$F$344</definedName>
    <definedName name="_xlnm.Print_Area" localSheetId="3">'прил 16  вед стр 19г'!$A$1:$I$519</definedName>
    <definedName name="_xlnm.Print_Area" localSheetId="4">'прил 18 БИ (19'!$A$1:$J$31</definedName>
    <definedName name="_xlnm.Print_Area" localSheetId="5">'прил 20 дор фонд (19г)'!$A$1:$N$15</definedName>
    <definedName name="_xlnm.Print_Area">#REF!</definedName>
    <definedName name="п" localSheetId="6">#REF!</definedName>
    <definedName name="п" localSheetId="0">#REF!</definedName>
    <definedName name="п" localSheetId="1">#REF!</definedName>
    <definedName name="п" localSheetId="2">#REF!</definedName>
    <definedName name="п" localSheetId="4">#REF!</definedName>
    <definedName name="п" localSheetId="5">#REF!</definedName>
    <definedName name="п">#REF!</definedName>
    <definedName name="Прил16дляраб" localSheetId="6">#REF!</definedName>
    <definedName name="Прил16дляраб" localSheetId="0">#REF!</definedName>
    <definedName name="Прил16дляраб" localSheetId="1">#REF!</definedName>
    <definedName name="Прил16дляраб" localSheetId="2">#REF!</definedName>
    <definedName name="Прил16дляраб" localSheetId="4">#REF!</definedName>
    <definedName name="Прил16дляраб" localSheetId="5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E236" i="14" l="1"/>
  <c r="F241" i="14"/>
  <c r="F240" i="14"/>
  <c r="E240" i="14"/>
  <c r="D240" i="14"/>
  <c r="H368" i="4"/>
  <c r="G366" i="4"/>
  <c r="I373" i="4"/>
  <c r="I372" i="4"/>
  <c r="H372" i="4"/>
  <c r="G372" i="4"/>
  <c r="E275" i="14" l="1"/>
  <c r="E245" i="14"/>
  <c r="H33" i="4"/>
  <c r="H331" i="4"/>
  <c r="D192" i="14"/>
  <c r="E193" i="14"/>
  <c r="E192" i="14" s="1"/>
  <c r="E194" i="14"/>
  <c r="F194" i="14" s="1"/>
  <c r="H355" i="4"/>
  <c r="I355" i="4"/>
  <c r="G355" i="4"/>
  <c r="H356" i="4"/>
  <c r="I357" i="4"/>
  <c r="F68" i="12"/>
  <c r="E14" i="11"/>
  <c r="J9" i="23"/>
  <c r="J10" i="23"/>
  <c r="G29" i="16"/>
  <c r="I30" i="16"/>
  <c r="H110" i="4"/>
  <c r="E129" i="14"/>
  <c r="E331" i="14"/>
  <c r="F331" i="14" s="1"/>
  <c r="F327" i="14"/>
  <c r="E343" i="14"/>
  <c r="D343" i="14"/>
  <c r="F343" i="14" s="1"/>
  <c r="E340" i="14"/>
  <c r="D340" i="14"/>
  <c r="F340" i="14" s="1"/>
  <c r="E337" i="14"/>
  <c r="D337" i="14"/>
  <c r="F337" i="14" s="1"/>
  <c r="E335" i="14"/>
  <c r="D335" i="14"/>
  <c r="F335" i="14" s="1"/>
  <c r="F329" i="14"/>
  <c r="E326" i="14"/>
  <c r="D326" i="14"/>
  <c r="E333" i="14"/>
  <c r="F333" i="14" s="1"/>
  <c r="F330" i="14"/>
  <c r="E277" i="14"/>
  <c r="E301" i="14"/>
  <c r="F301" i="14" s="1"/>
  <c r="E293" i="14"/>
  <c r="F293" i="14" s="1"/>
  <c r="E307" i="14"/>
  <c r="F307" i="14" s="1"/>
  <c r="F306" i="14" s="1"/>
  <c r="E306" i="14"/>
  <c r="D306" i="14"/>
  <c r="D303" i="14"/>
  <c r="D302" i="14" s="1"/>
  <c r="E304" i="14"/>
  <c r="F304" i="14"/>
  <c r="F299" i="14"/>
  <c r="F267" i="14"/>
  <c r="E265" i="14"/>
  <c r="F265" i="14" s="1"/>
  <c r="E261" i="14"/>
  <c r="F261" i="14" s="1"/>
  <c r="E258" i="14"/>
  <c r="F258" i="14" s="1"/>
  <c r="E256" i="14"/>
  <c r="F256" i="14" s="1"/>
  <c r="E252" i="14"/>
  <c r="D252" i="14"/>
  <c r="F252" i="14" s="1"/>
  <c r="E250" i="14"/>
  <c r="D250" i="14"/>
  <c r="F250" i="14" s="1"/>
  <c r="E318" i="14"/>
  <c r="F318" i="14" s="1"/>
  <c r="E316" i="14"/>
  <c r="F316" i="14" s="1"/>
  <c r="E314" i="14"/>
  <c r="F314" i="14" s="1"/>
  <c r="E310" i="14"/>
  <c r="F310" i="14" s="1"/>
  <c r="F309" i="14" s="1"/>
  <c r="F308" i="14" s="1"/>
  <c r="E309" i="14"/>
  <c r="D309" i="14"/>
  <c r="E308" i="14"/>
  <c r="D308" i="14"/>
  <c r="E297" i="14"/>
  <c r="F297" i="14" s="1"/>
  <c r="E305" i="14"/>
  <c r="F305" i="14" s="1"/>
  <c r="F303" i="14" s="1"/>
  <c r="F302" i="14" s="1"/>
  <c r="E295" i="14"/>
  <c r="F239" i="14"/>
  <c r="F238" i="14"/>
  <c r="E238" i="14"/>
  <c r="D238" i="14"/>
  <c r="F237" i="14"/>
  <c r="F236" i="14"/>
  <c r="E232" i="14"/>
  <c r="F232" i="14" s="1"/>
  <c r="F230" i="14"/>
  <c r="E229" i="14"/>
  <c r="F229" i="14" s="1"/>
  <c r="E227" i="14"/>
  <c r="F227" i="14" s="1"/>
  <c r="E246" i="14"/>
  <c r="F246" i="14" s="1"/>
  <c r="E244" i="14"/>
  <c r="D244" i="14"/>
  <c r="E207" i="14"/>
  <c r="F207" i="14" s="1"/>
  <c r="E212" i="14"/>
  <c r="F212" i="14" s="1"/>
  <c r="F193" i="14"/>
  <c r="F192" i="14" s="1"/>
  <c r="D189" i="14"/>
  <c r="E190" i="14"/>
  <c r="F190" i="14" s="1"/>
  <c r="D201" i="14"/>
  <c r="F204" i="14"/>
  <c r="H348" i="4"/>
  <c r="G348" i="4"/>
  <c r="I350" i="4"/>
  <c r="E202" i="14"/>
  <c r="F202" i="14" s="1"/>
  <c r="E200" i="14"/>
  <c r="F200" i="14" s="1"/>
  <c r="E199" i="14"/>
  <c r="F199" i="14" s="1"/>
  <c r="E216" i="14"/>
  <c r="F216" i="14" s="1"/>
  <c r="E173" i="14"/>
  <c r="F173" i="14" s="1"/>
  <c r="E171" i="14"/>
  <c r="F171" i="14" s="1"/>
  <c r="E162" i="14"/>
  <c r="F162" i="14" s="1"/>
  <c r="E206" i="14"/>
  <c r="D206" i="14"/>
  <c r="F208" i="14"/>
  <c r="F203" i="14"/>
  <c r="E217" i="14"/>
  <c r="F217" i="14" s="1"/>
  <c r="I139" i="14"/>
  <c r="E132" i="14"/>
  <c r="F132" i="14" s="1"/>
  <c r="E127" i="14"/>
  <c r="F127" i="14" s="1"/>
  <c r="E123" i="14"/>
  <c r="F123" i="14" s="1"/>
  <c r="E122" i="14"/>
  <c r="F122" i="14" s="1"/>
  <c r="E101" i="14"/>
  <c r="F101" i="14" s="1"/>
  <c r="E76" i="14"/>
  <c r="D76" i="14"/>
  <c r="F76" i="14" s="1"/>
  <c r="F75" i="14" s="1"/>
  <c r="E75" i="14"/>
  <c r="D75" i="14"/>
  <c r="E74" i="14"/>
  <c r="D74" i="14"/>
  <c r="F74" i="14" s="1"/>
  <c r="E73" i="14"/>
  <c r="F73" i="14" s="1"/>
  <c r="E72" i="14"/>
  <c r="D72" i="14"/>
  <c r="F72" i="14" s="1"/>
  <c r="E60" i="14"/>
  <c r="F60" i="14" s="1"/>
  <c r="E59" i="14"/>
  <c r="D59" i="14"/>
  <c r="F59" i="14" s="1"/>
  <c r="E58" i="14"/>
  <c r="F58" i="14" s="1"/>
  <c r="E57" i="14"/>
  <c r="F57" i="14" s="1"/>
  <c r="E56" i="14"/>
  <c r="D56" i="14"/>
  <c r="F56" i="14" s="1"/>
  <c r="E55" i="14"/>
  <c r="F55" i="14" s="1"/>
  <c r="E54" i="14"/>
  <c r="D54" i="14"/>
  <c r="F54" i="14" s="1"/>
  <c r="E53" i="14"/>
  <c r="D53" i="14"/>
  <c r="F53" i="14" s="1"/>
  <c r="E52" i="14"/>
  <c r="E354" i="14" s="1"/>
  <c r="D52" i="14"/>
  <c r="F52" i="14" s="1"/>
  <c r="F354" i="14" s="1"/>
  <c r="E51" i="14"/>
  <c r="F51" i="14" s="1"/>
  <c r="F50" i="14" s="1"/>
  <c r="E50" i="14"/>
  <c r="D50" i="14"/>
  <c r="E49" i="14"/>
  <c r="D49" i="14"/>
  <c r="F49" i="14" s="1"/>
  <c r="E97" i="14"/>
  <c r="F97" i="14" s="1"/>
  <c r="F96" i="14" s="1"/>
  <c r="E96" i="14"/>
  <c r="D96" i="14"/>
  <c r="E92" i="14"/>
  <c r="F92" i="14" s="1"/>
  <c r="F91" i="14" s="1"/>
  <c r="E91" i="14"/>
  <c r="D91" i="14"/>
  <c r="E90" i="14"/>
  <c r="F90" i="14" s="1"/>
  <c r="F89" i="14" s="1"/>
  <c r="E89" i="14"/>
  <c r="D89" i="14"/>
  <c r="E88" i="14"/>
  <c r="F88" i="14" s="1"/>
  <c r="E86" i="14"/>
  <c r="F86" i="14" s="1"/>
  <c r="E70" i="14"/>
  <c r="F70" i="14" s="1"/>
  <c r="E68" i="14"/>
  <c r="F68" i="14" s="1"/>
  <c r="E64" i="14"/>
  <c r="F64" i="14" s="1"/>
  <c r="E112" i="14"/>
  <c r="F112" i="14" s="1"/>
  <c r="E119" i="14"/>
  <c r="F119" i="14" s="1"/>
  <c r="E95" i="14"/>
  <c r="F95" i="14" s="1"/>
  <c r="F94" i="14" s="1"/>
  <c r="F93" i="14" s="1"/>
  <c r="E94" i="14"/>
  <c r="E93" i="14" s="1"/>
  <c r="D94" i="14"/>
  <c r="D93" i="14" s="1"/>
  <c r="F83" i="14"/>
  <c r="F42" i="14"/>
  <c r="E17" i="14"/>
  <c r="F17" i="14" s="1"/>
  <c r="F15" i="14"/>
  <c r="F14" i="14"/>
  <c r="E12" i="14"/>
  <c r="F12" i="14" s="1"/>
  <c r="F345" i="14"/>
  <c r="H81" i="4"/>
  <c r="H420" i="4"/>
  <c r="H518" i="4"/>
  <c r="H517" i="4"/>
  <c r="H495" i="4"/>
  <c r="H464" i="4"/>
  <c r="H475" i="4"/>
  <c r="H477" i="4"/>
  <c r="H479" i="4"/>
  <c r="G352" i="4"/>
  <c r="H353" i="4"/>
  <c r="I353" i="4" s="1"/>
  <c r="H285" i="4"/>
  <c r="H287" i="4"/>
  <c r="J519" i="4"/>
  <c r="F201" i="14" l="1"/>
  <c r="E189" i="14"/>
  <c r="E303" i="14"/>
  <c r="E302" i="14" s="1"/>
  <c r="D354" i="14"/>
  <c r="E201" i="14"/>
  <c r="H322" i="4" l="1"/>
  <c r="H450" i="4"/>
  <c r="H511" i="4"/>
  <c r="H473" i="4"/>
  <c r="H160" i="4"/>
  <c r="M17" i="18"/>
  <c r="H177" i="4"/>
  <c r="H14" i="4"/>
  <c r="H60" i="4"/>
  <c r="H58" i="4"/>
  <c r="H326" i="4"/>
  <c r="H347" i="4"/>
  <c r="H429" i="4"/>
  <c r="H319" i="4"/>
  <c r="H28" i="4"/>
  <c r="H25" i="4"/>
  <c r="H27" i="4"/>
  <c r="H26" i="4" s="1"/>
  <c r="I28" i="4"/>
  <c r="I27" i="4" s="1"/>
  <c r="I26" i="4" s="1"/>
  <c r="G27" i="4"/>
  <c r="G26" i="4" s="1"/>
  <c r="G476" i="4"/>
  <c r="H476" i="4"/>
  <c r="I477" i="4"/>
  <c r="I476" i="4" s="1"/>
  <c r="G478" i="4"/>
  <c r="H478" i="4"/>
  <c r="I479" i="4"/>
  <c r="I478" i="4" s="1"/>
  <c r="H482" i="4"/>
  <c r="I482" i="4" s="1"/>
  <c r="I481" i="4" s="1"/>
  <c r="I480" i="4" s="1"/>
  <c r="H481" i="4"/>
  <c r="H480" i="4" s="1"/>
  <c r="G481" i="4"/>
  <c r="G480" i="4" s="1"/>
  <c r="H405" i="4"/>
  <c r="G386" i="4"/>
  <c r="H387" i="4"/>
  <c r="H386" i="4" s="1"/>
  <c r="I387" i="4" l="1"/>
  <c r="I386" i="4" s="1"/>
  <c r="H389" i="4"/>
  <c r="H396" i="4"/>
  <c r="H395" i="4" s="1"/>
  <c r="G30" i="16"/>
  <c r="H346" i="4"/>
  <c r="H345" i="4" s="1"/>
  <c r="I405" i="4" l="1"/>
  <c r="I404" i="4"/>
  <c r="I403" i="4" s="1"/>
  <c r="H404" i="4"/>
  <c r="H403" i="4" s="1"/>
  <c r="G404" i="4"/>
  <c r="G403" i="4" s="1"/>
  <c r="H206" i="4" l="1"/>
  <c r="H108" i="4"/>
  <c r="H498" i="4"/>
  <c r="H489" i="4"/>
  <c r="H487" i="4"/>
  <c r="H272" i="4"/>
  <c r="H219" i="4"/>
  <c r="H317" i="4"/>
  <c r="H214" i="4"/>
  <c r="H237" i="4"/>
  <c r="H209" i="4"/>
  <c r="H203" i="4"/>
  <c r="H84" i="4"/>
  <c r="H75" i="4"/>
  <c r="H35" i="4"/>
  <c r="H16" i="4"/>
  <c r="H79" i="4"/>
  <c r="H73" i="4"/>
  <c r="H113" i="4"/>
  <c r="H123" i="4"/>
  <c r="H17" i="18" l="1"/>
  <c r="I17" i="18"/>
  <c r="K17" i="18"/>
  <c r="J17" i="18"/>
  <c r="L17" i="18"/>
  <c r="O17" i="18"/>
  <c r="N17" i="18"/>
  <c r="H18" i="18"/>
  <c r="I18" i="18"/>
  <c r="J18" i="18"/>
  <c r="K18" i="18"/>
  <c r="L18" i="18"/>
  <c r="M18" i="18"/>
  <c r="N18" i="18"/>
  <c r="O18" i="18"/>
  <c r="P18" i="18"/>
  <c r="G18" i="18"/>
  <c r="L19" i="18" l="1"/>
  <c r="H165" i="4" l="1"/>
  <c r="G165" i="4"/>
  <c r="I165" i="4" s="1"/>
  <c r="H164" i="4"/>
  <c r="G164" i="4"/>
  <c r="H163" i="4"/>
  <c r="H162" i="4"/>
  <c r="H159" i="4"/>
  <c r="G159" i="4"/>
  <c r="H158" i="4"/>
  <c r="G158" i="4"/>
  <c r="H157" i="4"/>
  <c r="G157" i="4"/>
  <c r="G156" i="4"/>
  <c r="H156" i="4"/>
  <c r="I160" i="4"/>
  <c r="I159" i="4" s="1"/>
  <c r="I158" i="4" s="1"/>
  <c r="I157" i="4" s="1"/>
  <c r="I156" i="4" s="1"/>
  <c r="I277" i="4"/>
  <c r="I276" i="4"/>
  <c r="H276" i="4"/>
  <c r="G276" i="4"/>
  <c r="H121" i="4"/>
  <c r="I138" i="4"/>
  <c r="I137" i="4" s="1"/>
  <c r="H137" i="4"/>
  <c r="G137" i="4"/>
  <c r="I164" i="4" l="1"/>
  <c r="G163" i="4"/>
  <c r="I163" i="4" l="1"/>
  <c r="G162" i="4"/>
  <c r="I162" i="4" s="1"/>
  <c r="H505" i="4"/>
  <c r="H416" i="4"/>
  <c r="H342" i="4"/>
  <c r="H503" i="4"/>
  <c r="H502" i="4"/>
  <c r="H501" i="4"/>
  <c r="H496" i="4"/>
  <c r="H493" i="4"/>
  <c r="I493" i="4"/>
  <c r="I495" i="4"/>
  <c r="I496" i="4"/>
  <c r="I498" i="4"/>
  <c r="H497" i="4"/>
  <c r="G497" i="4"/>
  <c r="I497" i="4" s="1"/>
  <c r="H494" i="4"/>
  <c r="G494" i="4"/>
  <c r="H492" i="4"/>
  <c r="G492" i="4"/>
  <c r="H491" i="4"/>
  <c r="G491" i="4"/>
  <c r="H490" i="4"/>
  <c r="H590" i="4" s="1"/>
  <c r="G490" i="4"/>
  <c r="G590" i="4" s="1"/>
  <c r="I489" i="4"/>
  <c r="I488" i="4" s="1"/>
  <c r="H488" i="4"/>
  <c r="G488" i="4"/>
  <c r="H470" i="4"/>
  <c r="H468" i="4"/>
  <c r="H394" i="4"/>
  <c r="H388" i="4"/>
  <c r="H385" i="4" s="1"/>
  <c r="G388" i="4"/>
  <c r="G385" i="4" s="1"/>
  <c r="I389" i="4"/>
  <c r="I388" i="4" s="1"/>
  <c r="I385" i="4" s="1"/>
  <c r="H378" i="4"/>
  <c r="I371" i="4"/>
  <c r="H370" i="4"/>
  <c r="I370" i="4"/>
  <c r="G370" i="4"/>
  <c r="H364" i="4"/>
  <c r="H352" i="4"/>
  <c r="H349" i="4"/>
  <c r="H303" i="4"/>
  <c r="I171" i="4"/>
  <c r="I170" i="4"/>
  <c r="H170" i="4"/>
  <c r="G170" i="4"/>
  <c r="I169" i="4"/>
  <c r="H169" i="4"/>
  <c r="G169" i="4"/>
  <c r="I168" i="4"/>
  <c r="H168" i="4"/>
  <c r="G168" i="4"/>
  <c r="I167" i="4"/>
  <c r="I161" i="4" s="1"/>
  <c r="H167" i="4"/>
  <c r="H161" i="4" s="1"/>
  <c r="G167" i="4"/>
  <c r="G161" i="4" s="1"/>
  <c r="I491" i="4" l="1"/>
  <c r="I492" i="4"/>
  <c r="I494" i="4"/>
  <c r="I490" i="4"/>
  <c r="I590" i="4" s="1"/>
  <c r="I155" i="4" l="1"/>
  <c r="I166" i="4"/>
  <c r="H154" i="4"/>
  <c r="G154" i="4"/>
  <c r="I154" i="4" s="1"/>
  <c r="H153" i="4"/>
  <c r="H88" i="4"/>
  <c r="H52" i="4" l="1"/>
  <c r="G52" i="4"/>
  <c r="I53" i="4"/>
  <c r="I52" i="4" s="1"/>
  <c r="H51" i="4"/>
  <c r="I51" i="4"/>
  <c r="I50" i="4" s="1"/>
  <c r="I49" i="4" s="1"/>
  <c r="H50" i="4"/>
  <c r="H49" i="4" s="1"/>
  <c r="G50" i="4"/>
  <c r="G49" i="4" s="1"/>
  <c r="H48" i="4"/>
  <c r="G13" i="4"/>
  <c r="H13" i="4"/>
  <c r="D28" i="16" l="1"/>
  <c r="G28" i="16"/>
  <c r="I28" i="16"/>
  <c r="F28" i="16"/>
  <c r="J30" i="16" l="1"/>
  <c r="H30" i="16"/>
  <c r="E30" i="16" l="1"/>
  <c r="B30" i="16"/>
  <c r="C28" i="16"/>
  <c r="B28" i="16"/>
  <c r="F300" i="14" l="1"/>
  <c r="E300" i="14"/>
  <c r="D300" i="14"/>
  <c r="I396" i="4"/>
  <c r="I395" i="4" s="1"/>
  <c r="G395" i="4"/>
  <c r="H14" i="18" l="1"/>
  <c r="I14" i="18"/>
  <c r="J14" i="18"/>
  <c r="K14" i="18"/>
  <c r="L14" i="18"/>
  <c r="M14" i="18"/>
  <c r="N14" i="18"/>
  <c r="O14" i="18"/>
  <c r="G14" i="18"/>
  <c r="F17" i="18"/>
  <c r="D292" i="14"/>
  <c r="E292" i="14"/>
  <c r="E181" i="14"/>
  <c r="D181" i="14"/>
  <c r="F183" i="14"/>
  <c r="I147" i="4"/>
  <c r="I146" i="4" s="1"/>
  <c r="I145" i="4" s="1"/>
  <c r="I144" i="4" s="1"/>
  <c r="H146" i="4"/>
  <c r="G146" i="4"/>
  <c r="H145" i="4"/>
  <c r="G145" i="4"/>
  <c r="H144" i="4"/>
  <c r="G144" i="4"/>
  <c r="G10" i="23" l="1"/>
  <c r="C10" i="23"/>
  <c r="L10" i="23"/>
  <c r="M10" i="23"/>
  <c r="N10" i="23"/>
  <c r="D21" i="16"/>
  <c r="F21" i="16"/>
  <c r="G21" i="16"/>
  <c r="J21" i="16"/>
  <c r="C21" i="16"/>
  <c r="F328" i="14"/>
  <c r="F326" i="14" s="1"/>
  <c r="E320" i="14"/>
  <c r="F295" i="14"/>
  <c r="E228" i="14"/>
  <c r="K10" i="23" l="1"/>
  <c r="F231" i="14"/>
  <c r="E231" i="14"/>
  <c r="D231" i="14"/>
  <c r="D228" i="14"/>
  <c r="F226" i="14"/>
  <c r="E226" i="14"/>
  <c r="E225" i="14" s="1"/>
  <c r="E224" i="14" s="1"/>
  <c r="E384" i="14" s="1"/>
  <c r="D226" i="14"/>
  <c r="D225" i="14"/>
  <c r="D224" i="14"/>
  <c r="D384" i="14" s="1"/>
  <c r="E215" i="14"/>
  <c r="D215" i="14"/>
  <c r="F210" i="14"/>
  <c r="F209" i="14"/>
  <c r="E209" i="14"/>
  <c r="D209" i="14"/>
  <c r="E198" i="14"/>
  <c r="D198" i="14"/>
  <c r="E176" i="14"/>
  <c r="E175" i="14" s="1"/>
  <c r="I520" i="4"/>
  <c r="H430" i="4"/>
  <c r="G430" i="4"/>
  <c r="I431" i="4"/>
  <c r="I430" i="4" s="1"/>
  <c r="I394" i="4"/>
  <c r="I393" i="4"/>
  <c r="H393" i="4"/>
  <c r="H392" i="4" s="1"/>
  <c r="H391" i="4" s="1"/>
  <c r="H390" i="4" s="1"/>
  <c r="G393" i="4"/>
  <c r="H361" i="4"/>
  <c r="G361" i="4"/>
  <c r="I362" i="4"/>
  <c r="I361" i="4" s="1"/>
  <c r="G345" i="4"/>
  <c r="I346" i="4"/>
  <c r="I322" i="4"/>
  <c r="I321" i="4" s="1"/>
  <c r="H321" i="4"/>
  <c r="G321" i="4"/>
  <c r="I320" i="4"/>
  <c r="I319" i="4"/>
  <c r="H318" i="4"/>
  <c r="G318" i="4"/>
  <c r="I317" i="4"/>
  <c r="I316" i="4" s="1"/>
  <c r="H316" i="4"/>
  <c r="H315" i="4" s="1"/>
  <c r="H314" i="4" s="1"/>
  <c r="G316" i="4"/>
  <c r="G315" i="4"/>
  <c r="G314" i="4"/>
  <c r="G615" i="4" s="1"/>
  <c r="H227" i="4"/>
  <c r="I196" i="4"/>
  <c r="I195" i="4"/>
  <c r="H195" i="4"/>
  <c r="G195" i="4"/>
  <c r="I183" i="4"/>
  <c r="I182" i="4"/>
  <c r="H182" i="4"/>
  <c r="G182" i="4"/>
  <c r="I181" i="4"/>
  <c r="H181" i="4"/>
  <c r="G181" i="4"/>
  <c r="I180" i="4"/>
  <c r="I179" i="4" s="1"/>
  <c r="I178" i="4" s="1"/>
  <c r="H180" i="4"/>
  <c r="H179" i="4" s="1"/>
  <c r="H178" i="4" s="1"/>
  <c r="G180" i="4"/>
  <c r="G179" i="4" s="1"/>
  <c r="G178" i="4" s="1"/>
  <c r="H152" i="4"/>
  <c r="H151" i="4" s="1"/>
  <c r="H150" i="4" s="1"/>
  <c r="G152" i="4"/>
  <c r="G151" i="4" s="1"/>
  <c r="G150" i="4" s="1"/>
  <c r="I153" i="4"/>
  <c r="I152" i="4" s="1"/>
  <c r="I151" i="4" s="1"/>
  <c r="I150" i="4" s="1"/>
  <c r="I143" i="4"/>
  <c r="I142" i="4"/>
  <c r="I141" i="4" s="1"/>
  <c r="I140" i="4" s="1"/>
  <c r="I139" i="4" s="1"/>
  <c r="I536" i="4" s="1"/>
  <c r="H142" i="4"/>
  <c r="H141" i="4" s="1"/>
  <c r="H140" i="4" s="1"/>
  <c r="H139" i="4" s="1"/>
  <c r="H536" i="4" s="1"/>
  <c r="G142" i="4"/>
  <c r="G141" i="4" s="1"/>
  <c r="G140" i="4" s="1"/>
  <c r="G139" i="4" s="1"/>
  <c r="G536" i="4" s="1"/>
  <c r="H135" i="4"/>
  <c r="H134" i="4" s="1"/>
  <c r="H133" i="4" s="1"/>
  <c r="H132" i="4" s="1"/>
  <c r="G135" i="4"/>
  <c r="G134" i="4" s="1"/>
  <c r="G133" i="4" s="1"/>
  <c r="G132" i="4" s="1"/>
  <c r="I136" i="4"/>
  <c r="I135" i="4" s="1"/>
  <c r="I134" i="4" s="1"/>
  <c r="I133" i="4" s="1"/>
  <c r="I132" i="4" s="1"/>
  <c r="H615" i="4" l="1"/>
  <c r="G131" i="4"/>
  <c r="I149" i="4"/>
  <c r="I148" i="4" s="1"/>
  <c r="G149" i="4"/>
  <c r="G148" i="4" s="1"/>
  <c r="H149" i="4"/>
  <c r="H148" i="4" s="1"/>
  <c r="G392" i="4"/>
  <c r="G391" i="4" s="1"/>
  <c r="G390" i="4" s="1"/>
  <c r="I392" i="4"/>
  <c r="I391" i="4" s="1"/>
  <c r="I390" i="4" s="1"/>
  <c r="F228" i="14"/>
  <c r="F225" i="14" s="1"/>
  <c r="F224" i="14" s="1"/>
  <c r="F384" i="14" s="1"/>
  <c r="I318" i="4"/>
  <c r="I315" i="4" s="1"/>
  <c r="I314" i="4" s="1"/>
  <c r="I131" i="4"/>
  <c r="H131" i="4"/>
  <c r="I615" i="4" l="1"/>
  <c r="H24" i="4"/>
  <c r="G24" i="4"/>
  <c r="I25" i="4"/>
  <c r="I24" i="4" s="1"/>
  <c r="I23" i="4" s="1"/>
  <c r="H23" i="4"/>
  <c r="G23" i="4"/>
  <c r="D139" i="14" l="1"/>
  <c r="E139" i="14"/>
  <c r="F87" i="14"/>
  <c r="E87" i="14"/>
  <c r="D87" i="14"/>
  <c r="E339" i="14"/>
  <c r="E338" i="14" s="1"/>
  <c r="F339" i="14"/>
  <c r="F338" i="14" s="1"/>
  <c r="E342" i="14"/>
  <c r="E341" i="14" s="1"/>
  <c r="D342" i="14"/>
  <c r="D341" i="14" s="1"/>
  <c r="D339" i="14"/>
  <c r="D338" i="14" s="1"/>
  <c r="E334" i="14"/>
  <c r="F334" i="14"/>
  <c r="E336" i="14"/>
  <c r="D336" i="14"/>
  <c r="D334" i="14"/>
  <c r="D320" i="14"/>
  <c r="D287" i="14"/>
  <c r="D283" i="14"/>
  <c r="D279" i="14"/>
  <c r="D277" i="14"/>
  <c r="D269" i="14"/>
  <c r="D176" i="14"/>
  <c r="D175" i="14" s="1"/>
  <c r="D157" i="14"/>
  <c r="D146" i="14"/>
  <c r="D103" i="14"/>
  <c r="D79" i="14"/>
  <c r="E65" i="14"/>
  <c r="D65" i="14"/>
  <c r="D167" i="14"/>
  <c r="F336" i="14" l="1"/>
  <c r="F342" i="14"/>
  <c r="F341" i="14" s="1"/>
  <c r="I257" i="4"/>
  <c r="I256" i="4"/>
  <c r="H256" i="4"/>
  <c r="G256" i="4"/>
  <c r="I255" i="4"/>
  <c r="I254" i="4" s="1"/>
  <c r="H255" i="4"/>
  <c r="H254" i="4" s="1"/>
  <c r="G255" i="4"/>
  <c r="G254" i="4" s="1"/>
  <c r="G505" i="4"/>
  <c r="G503" i="4"/>
  <c r="G501" i="4"/>
  <c r="G487" i="4"/>
  <c r="G327" i="4"/>
  <c r="G267" i="4"/>
  <c r="G253" i="4"/>
  <c r="G246" i="4"/>
  <c r="G237" i="4"/>
  <c r="G227" i="4"/>
  <c r="G223" i="4"/>
  <c r="G209" i="4"/>
  <c r="G206" i="4"/>
  <c r="G203" i="4"/>
  <c r="G100" i="4"/>
  <c r="G92" i="4"/>
  <c r="G75" i="4"/>
  <c r="G73" i="4"/>
  <c r="G39" i="4"/>
  <c r="G35" i="4"/>
  <c r="G22" i="4"/>
  <c r="G20" i="4"/>
  <c r="G16" i="4"/>
  <c r="D7" i="23" l="1"/>
  <c r="E7" i="23" s="1"/>
  <c r="F7" i="23" s="1"/>
  <c r="G7" i="23" s="1"/>
  <c r="H7" i="23" s="1"/>
  <c r="I7" i="23" s="1"/>
  <c r="J7" i="23" s="1"/>
  <c r="K7" i="23" s="1"/>
  <c r="L7" i="23" s="1"/>
  <c r="M7" i="23" s="1"/>
  <c r="N7" i="23" s="1"/>
  <c r="D29" i="16"/>
  <c r="D63" i="14"/>
  <c r="D172" i="14"/>
  <c r="G286" i="4" l="1"/>
  <c r="H358" i="4"/>
  <c r="G358" i="4"/>
  <c r="G463" i="4"/>
  <c r="I29" i="16" l="1"/>
  <c r="I27" i="16" s="1"/>
  <c r="J29" i="16"/>
  <c r="H29" i="16"/>
  <c r="E29" i="16"/>
  <c r="B29" i="16"/>
  <c r="B27" i="16" s="1"/>
  <c r="B31" i="16" s="1"/>
  <c r="C27" i="16"/>
  <c r="C31" i="16" s="1"/>
  <c r="D27" i="16"/>
  <c r="D31" i="16" s="1"/>
  <c r="F27" i="16"/>
  <c r="G27" i="16"/>
  <c r="E28" i="16" l="1"/>
  <c r="E27" i="16" s="1"/>
  <c r="H28" i="16"/>
  <c r="H27" i="16" s="1"/>
  <c r="J28" i="16"/>
  <c r="J27" i="16" s="1"/>
  <c r="J26" i="16"/>
  <c r="J25" i="16"/>
  <c r="H26" i="16"/>
  <c r="H25" i="16"/>
  <c r="E26" i="16"/>
  <c r="E25" i="16"/>
  <c r="B26" i="16"/>
  <c r="B25" i="16"/>
  <c r="C24" i="16"/>
  <c r="C23" i="16" s="1"/>
  <c r="D24" i="16"/>
  <c r="D23" i="16" s="1"/>
  <c r="E24" i="16"/>
  <c r="E23" i="16" s="1"/>
  <c r="F24" i="16"/>
  <c r="F23" i="16" s="1"/>
  <c r="G24" i="16"/>
  <c r="G23" i="16" s="1"/>
  <c r="G31" i="16" s="1"/>
  <c r="H24" i="16"/>
  <c r="H23" i="16" s="1"/>
  <c r="I24" i="16"/>
  <c r="I23" i="16" s="1"/>
  <c r="J24" i="16"/>
  <c r="J23" i="16" s="1"/>
  <c r="B24" i="16"/>
  <c r="B23" i="16"/>
  <c r="F16" i="18"/>
  <c r="P15" i="18"/>
  <c r="P14" i="18" s="1"/>
  <c r="J31" i="16" l="1"/>
  <c r="F14" i="18"/>
  <c r="F15" i="18"/>
  <c r="E322" i="14"/>
  <c r="E321" i="14" s="1"/>
  <c r="D322" i="14"/>
  <c r="D321" i="14" s="1"/>
  <c r="F107" i="14"/>
  <c r="F106" i="14"/>
  <c r="E106" i="14"/>
  <c r="D106" i="14"/>
  <c r="F105" i="14"/>
  <c r="F104" i="14"/>
  <c r="E104" i="14"/>
  <c r="D104" i="14"/>
  <c r="F100" i="14"/>
  <c r="E100" i="14"/>
  <c r="D100" i="14"/>
  <c r="F111" i="14"/>
  <c r="E111" i="14"/>
  <c r="D111" i="14"/>
  <c r="F110" i="14"/>
  <c r="F109" i="14"/>
  <c r="F108" i="14" s="1"/>
  <c r="E109" i="14"/>
  <c r="E108" i="14" s="1"/>
  <c r="D109" i="14"/>
  <c r="D108" i="14" s="1"/>
  <c r="F117" i="14"/>
  <c r="F116" i="14"/>
  <c r="F115" i="14"/>
  <c r="E115" i="14"/>
  <c r="D115" i="14"/>
  <c r="F118" i="14"/>
  <c r="F114" i="14" s="1"/>
  <c r="E118" i="14"/>
  <c r="E114" i="14" s="1"/>
  <c r="D118" i="14"/>
  <c r="D114" i="14" s="1"/>
  <c r="F121" i="14"/>
  <c r="E121" i="14"/>
  <c r="D121" i="14"/>
  <c r="F120" i="14"/>
  <c r="E120" i="14"/>
  <c r="D120" i="14"/>
  <c r="F85" i="14"/>
  <c r="F84" i="14" s="1"/>
  <c r="E85" i="14"/>
  <c r="E84" i="14" s="1"/>
  <c r="D85" i="14"/>
  <c r="D84" i="14" s="1"/>
  <c r="E71" i="14"/>
  <c r="D71" i="14"/>
  <c r="F69" i="14"/>
  <c r="E69" i="14"/>
  <c r="D69" i="14"/>
  <c r="F67" i="14"/>
  <c r="E67" i="14"/>
  <c r="D67" i="14"/>
  <c r="D62" i="14" s="1"/>
  <c r="F66" i="14"/>
  <c r="F65" i="14" s="1"/>
  <c r="F82" i="14"/>
  <c r="F81" i="14" s="1"/>
  <c r="E82" i="14"/>
  <c r="D82" i="14"/>
  <c r="E81" i="14"/>
  <c r="D81" i="14"/>
  <c r="F80" i="14"/>
  <c r="F79" i="14"/>
  <c r="E78" i="14"/>
  <c r="D78" i="14"/>
  <c r="E77" i="14"/>
  <c r="D77" i="14"/>
  <c r="E195" i="14"/>
  <c r="D195" i="14"/>
  <c r="F196" i="14"/>
  <c r="F195" i="14" s="1"/>
  <c r="F211" i="14"/>
  <c r="E211" i="14"/>
  <c r="D211" i="14"/>
  <c r="F206" i="14"/>
  <c r="D205" i="14"/>
  <c r="F160" i="14"/>
  <c r="F159" i="14"/>
  <c r="F157" i="14"/>
  <c r="F156" i="14" s="1"/>
  <c r="F219" i="14"/>
  <c r="F218" i="14"/>
  <c r="E218" i="14"/>
  <c r="D218" i="14"/>
  <c r="F215" i="14"/>
  <c r="F214" i="14"/>
  <c r="F213" i="14" s="1"/>
  <c r="F373" i="14" s="1"/>
  <c r="E214" i="14"/>
  <c r="E213" i="14" s="1"/>
  <c r="E373" i="14" s="1"/>
  <c r="D214" i="14"/>
  <c r="D213" i="14" s="1"/>
  <c r="D373" i="14" s="1"/>
  <c r="F170" i="14"/>
  <c r="E170" i="14"/>
  <c r="D170" i="14"/>
  <c r="D169" i="14" s="1"/>
  <c r="F166" i="14"/>
  <c r="F165" i="14"/>
  <c r="E165" i="14"/>
  <c r="D165" i="14"/>
  <c r="F182" i="14"/>
  <c r="F181" i="14" s="1"/>
  <c r="F180" i="14"/>
  <c r="F179" i="14"/>
  <c r="F178" i="14" s="1"/>
  <c r="E179" i="14"/>
  <c r="E178" i="14" s="1"/>
  <c r="D179" i="14"/>
  <c r="D178" i="14" s="1"/>
  <c r="F161" i="14"/>
  <c r="E161" i="14"/>
  <c r="D161" i="14"/>
  <c r="F177" i="14"/>
  <c r="F176" i="14"/>
  <c r="F175" i="14" s="1"/>
  <c r="F174" i="14"/>
  <c r="E174" i="14"/>
  <c r="D174" i="14"/>
  <c r="D61" i="14" l="1"/>
  <c r="E205" i="14"/>
  <c r="F205" i="14"/>
  <c r="F63" i="14"/>
  <c r="E63" i="14"/>
  <c r="F172" i="14"/>
  <c r="F169" i="14" s="1"/>
  <c r="E172" i="14"/>
  <c r="E169" i="14" s="1"/>
  <c r="D356" i="14"/>
  <c r="D113" i="14"/>
  <c r="E113" i="14"/>
  <c r="E359" i="14" s="1"/>
  <c r="F113" i="14"/>
  <c r="F71" i="14"/>
  <c r="F78" i="14"/>
  <c r="F77" i="14" s="1"/>
  <c r="D164" i="14"/>
  <c r="D163" i="14" s="1"/>
  <c r="E62" i="14" l="1"/>
  <c r="E61" i="14" s="1"/>
  <c r="E356" i="14" s="1"/>
  <c r="F62" i="14"/>
  <c r="F168" i="14"/>
  <c r="F167" i="14" s="1"/>
  <c r="E167" i="14"/>
  <c r="E164" i="14" s="1"/>
  <c r="E163" i="14" s="1"/>
  <c r="F164" i="14"/>
  <c r="F163" i="14" s="1"/>
  <c r="F140" i="14"/>
  <c r="F61" i="14" l="1"/>
  <c r="F332" i="14"/>
  <c r="E332" i="14"/>
  <c r="D332" i="14"/>
  <c r="F390" i="14"/>
  <c r="E390" i="14"/>
  <c r="D390" i="14"/>
  <c r="M237" i="14"/>
  <c r="K237" i="14"/>
  <c r="L237" i="14" s="1"/>
  <c r="H237" i="14"/>
  <c r="I237" i="14" s="1"/>
  <c r="M236" i="14"/>
  <c r="K236" i="14"/>
  <c r="L236" i="14" s="1"/>
  <c r="H236" i="14"/>
  <c r="I236" i="14" s="1"/>
  <c r="F245" i="14"/>
  <c r="F244" i="14" s="1"/>
  <c r="F243" i="14"/>
  <c r="E243" i="14"/>
  <c r="D243" i="14"/>
  <c r="F296" i="14"/>
  <c r="E296" i="14"/>
  <c r="D296" i="14"/>
  <c r="F315" i="14"/>
  <c r="F320" i="14"/>
  <c r="F319" i="14" s="1"/>
  <c r="F287" i="14"/>
  <c r="F286" i="14" s="1"/>
  <c r="E286" i="14"/>
  <c r="D286" i="14"/>
  <c r="F324" i="14"/>
  <c r="F323" i="14"/>
  <c r="F322" i="14" s="1"/>
  <c r="F321" i="14" s="1"/>
  <c r="E319" i="14"/>
  <c r="D319" i="14"/>
  <c r="E317" i="14"/>
  <c r="D317" i="14"/>
  <c r="F298" i="14"/>
  <c r="E298" i="14"/>
  <c r="D298" i="14"/>
  <c r="D291" i="14" s="1"/>
  <c r="F294" i="14"/>
  <c r="F292" i="14" s="1"/>
  <c r="F290" i="14"/>
  <c r="F289" i="14"/>
  <c r="F271" i="14"/>
  <c r="F270" i="14" s="1"/>
  <c r="E270" i="14"/>
  <c r="D270" i="14"/>
  <c r="F269" i="14"/>
  <c r="F268" i="14"/>
  <c r="E268" i="14"/>
  <c r="D268" i="14"/>
  <c r="F266" i="14"/>
  <c r="E266" i="14"/>
  <c r="D266" i="14"/>
  <c r="F264" i="14"/>
  <c r="F263" i="14" s="1"/>
  <c r="F262" i="14" s="1"/>
  <c r="F380" i="14" s="1"/>
  <c r="E264" i="14"/>
  <c r="D264" i="14"/>
  <c r="E263" i="14"/>
  <c r="E262" i="14" s="1"/>
  <c r="E380" i="14" s="1"/>
  <c r="D263" i="14"/>
  <c r="D262" i="14" s="1"/>
  <c r="D380" i="14" s="1"/>
  <c r="F260" i="14"/>
  <c r="E260" i="14"/>
  <c r="D260" i="14"/>
  <c r="F259" i="14"/>
  <c r="F257" i="14"/>
  <c r="E257" i="14"/>
  <c r="D257" i="14"/>
  <c r="F251" i="14"/>
  <c r="E251" i="14"/>
  <c r="D251" i="14"/>
  <c r="F356" i="14" l="1"/>
  <c r="E291" i="14"/>
  <c r="F291" i="14"/>
  <c r="F317" i="14"/>
  <c r="F223" i="14" l="1"/>
  <c r="F222" i="14"/>
  <c r="E222" i="14"/>
  <c r="D222" i="14"/>
  <c r="F221" i="14"/>
  <c r="E221" i="14"/>
  <c r="D221" i="14"/>
  <c r="F220" i="14"/>
  <c r="E220" i="14"/>
  <c r="E374" i="14" s="1"/>
  <c r="D220" i="14"/>
  <c r="D374" i="14" s="1"/>
  <c r="F198" i="14"/>
  <c r="E197" i="14"/>
  <c r="D197" i="14"/>
  <c r="F187" i="14"/>
  <c r="F186" i="14"/>
  <c r="E186" i="14"/>
  <c r="D186" i="14"/>
  <c r="F185" i="14"/>
  <c r="E185" i="14"/>
  <c r="D185" i="14"/>
  <c r="F191" i="14"/>
  <c r="F189" i="14" s="1"/>
  <c r="F146" i="14"/>
  <c r="F145" i="14"/>
  <c r="E145" i="14"/>
  <c r="D145" i="14"/>
  <c r="F144" i="14"/>
  <c r="F143" i="14"/>
  <c r="E143" i="14"/>
  <c r="D143" i="14"/>
  <c r="F150" i="14"/>
  <c r="F149" i="14"/>
  <c r="E149" i="14"/>
  <c r="D149" i="14"/>
  <c r="F148" i="14"/>
  <c r="F147" i="14"/>
  <c r="E147" i="14"/>
  <c r="D147" i="14"/>
  <c r="F138" i="14"/>
  <c r="F137" i="14"/>
  <c r="E137" i="14"/>
  <c r="D137" i="14"/>
  <c r="F139" i="14"/>
  <c r="F153" i="14"/>
  <c r="F152" i="14"/>
  <c r="E152" i="14"/>
  <c r="D152" i="14"/>
  <c r="F151" i="14"/>
  <c r="E151" i="14"/>
  <c r="D151" i="14"/>
  <c r="F131" i="14"/>
  <c r="E131" i="14"/>
  <c r="D131" i="14"/>
  <c r="F130" i="14"/>
  <c r="F129" i="14"/>
  <c r="F128" i="14"/>
  <c r="E128" i="14"/>
  <c r="D128" i="14"/>
  <c r="F126" i="14"/>
  <c r="E126" i="14"/>
  <c r="D126" i="14"/>
  <c r="F103" i="14"/>
  <c r="F102" i="14"/>
  <c r="E102" i="14"/>
  <c r="D102" i="14"/>
  <c r="F38" i="14"/>
  <c r="F31" i="14"/>
  <c r="F30" i="14" s="1"/>
  <c r="E30" i="14"/>
  <c r="D30" i="14"/>
  <c r="F29" i="14"/>
  <c r="F28" i="14" s="1"/>
  <c r="F27" i="14" s="1"/>
  <c r="E28" i="14"/>
  <c r="E27" i="14" s="1"/>
  <c r="D28" i="14"/>
  <c r="D27" i="14" s="1"/>
  <c r="F45" i="14"/>
  <c r="F44" i="14"/>
  <c r="E44" i="14"/>
  <c r="D44" i="14"/>
  <c r="F41" i="14"/>
  <c r="E41" i="14"/>
  <c r="D41" i="14"/>
  <c r="F26" i="14"/>
  <c r="F25" i="14"/>
  <c r="E25" i="14"/>
  <c r="D25" i="14"/>
  <c r="F24" i="14"/>
  <c r="F23" i="14"/>
  <c r="E23" i="14"/>
  <c r="D23" i="14"/>
  <c r="F22" i="14"/>
  <c r="F21" i="14"/>
  <c r="F20" i="14" s="1"/>
  <c r="E20" i="14"/>
  <c r="D20" i="14"/>
  <c r="F35" i="14"/>
  <c r="F34" i="14"/>
  <c r="E34" i="14"/>
  <c r="D34" i="14"/>
  <c r="F16" i="14"/>
  <c r="E16" i="14"/>
  <c r="D16" i="14"/>
  <c r="F13" i="14"/>
  <c r="E13" i="14"/>
  <c r="D13" i="14"/>
  <c r="F11" i="14"/>
  <c r="E11" i="14"/>
  <c r="D11" i="14"/>
  <c r="D10" i="14" s="1"/>
  <c r="D9" i="14" s="1"/>
  <c r="D348" i="14" s="1"/>
  <c r="G500" i="4"/>
  <c r="D619" i="4"/>
  <c r="C619" i="4" s="1"/>
  <c r="D620" i="4"/>
  <c r="C620" i="4" s="1"/>
  <c r="D615" i="4"/>
  <c r="C615" i="4" s="1"/>
  <c r="H112" i="4"/>
  <c r="G112" i="4"/>
  <c r="I113" i="4"/>
  <c r="I112" i="4" s="1"/>
  <c r="H176" i="4"/>
  <c r="H175" i="4" s="1"/>
  <c r="G176" i="4"/>
  <c r="G175" i="4" s="1"/>
  <c r="I177" i="4"/>
  <c r="I176" i="4" s="1"/>
  <c r="I175" i="4" s="1"/>
  <c r="H197" i="4"/>
  <c r="H194" i="4" s="1"/>
  <c r="G197" i="4"/>
  <c r="G194" i="4" s="1"/>
  <c r="I198" i="4"/>
  <c r="I197" i="4" s="1"/>
  <c r="I194" i="4" s="1"/>
  <c r="H286" i="4"/>
  <c r="I305" i="4"/>
  <c r="I304" i="4"/>
  <c r="H304" i="4"/>
  <c r="G304" i="4"/>
  <c r="I364" i="4"/>
  <c r="I363" i="4"/>
  <c r="I360" i="4" s="1"/>
  <c r="H363" i="4"/>
  <c r="H360" i="4" s="1"/>
  <c r="G363" i="4"/>
  <c r="G360" i="4" s="1"/>
  <c r="H419" i="4"/>
  <c r="H418" i="4" s="1"/>
  <c r="H417" i="4" s="1"/>
  <c r="G419" i="4"/>
  <c r="G418" i="4" s="1"/>
  <c r="G417" i="4" s="1"/>
  <c r="I420" i="4"/>
  <c r="I419" i="4" s="1"/>
  <c r="I418" i="4" s="1"/>
  <c r="I417" i="4" s="1"/>
  <c r="I416" i="4"/>
  <c r="I415" i="4"/>
  <c r="I414" i="4" s="1"/>
  <c r="H415" i="4"/>
  <c r="H414" i="4" s="1"/>
  <c r="G415" i="4"/>
  <c r="G414" i="4" s="1"/>
  <c r="G174" i="4" l="1"/>
  <c r="G173" i="4" s="1"/>
  <c r="G172" i="4" s="1"/>
  <c r="I174" i="4"/>
  <c r="I173" i="4" s="1"/>
  <c r="I172" i="4" s="1"/>
  <c r="H174" i="4"/>
  <c r="H173" i="4" s="1"/>
  <c r="H172" i="4" s="1"/>
  <c r="D188" i="14"/>
  <c r="D184" i="14" s="1"/>
  <c r="E188" i="14"/>
  <c r="F188" i="14"/>
  <c r="F197" i="14"/>
  <c r="H383" i="4"/>
  <c r="G383" i="4"/>
  <c r="I384" i="4"/>
  <c r="I383" i="4" s="1"/>
  <c r="I219" i="4"/>
  <c r="H218" i="4"/>
  <c r="I218" i="4"/>
  <c r="G218" i="4"/>
  <c r="H208" i="4"/>
  <c r="H207" i="4" s="1"/>
  <c r="H271" i="4"/>
  <c r="G271" i="4"/>
  <c r="I272" i="4"/>
  <c r="I271" i="4" s="1"/>
  <c r="G80" i="4"/>
  <c r="H80" i="4"/>
  <c r="I84" i="4"/>
  <c r="I83" i="4"/>
  <c r="H83" i="4"/>
  <c r="G83" i="4"/>
  <c r="G74" i="4"/>
  <c r="I75" i="4"/>
  <c r="I74" i="4"/>
  <c r="H74" i="4"/>
  <c r="I382" i="4" l="1"/>
  <c r="I381" i="4" s="1"/>
  <c r="I380" i="4" s="1"/>
  <c r="I379" i="4" s="1"/>
  <c r="G382" i="4"/>
  <c r="G381" i="4" s="1"/>
  <c r="G380" i="4" s="1"/>
  <c r="G379" i="4" s="1"/>
  <c r="H382" i="4"/>
  <c r="H381" i="4" s="1"/>
  <c r="H380" i="4" s="1"/>
  <c r="H379" i="4" s="1"/>
  <c r="D22" i="12"/>
  <c r="E22" i="12"/>
  <c r="F22" i="12"/>
  <c r="I470" i="4" l="1"/>
  <c r="I469" i="4" s="1"/>
  <c r="H469" i="4"/>
  <c r="G469" i="4"/>
  <c r="G472" i="4"/>
  <c r="H467" i="4"/>
  <c r="G467" i="4"/>
  <c r="I468" i="4"/>
  <c r="I467" i="4" s="1"/>
  <c r="H463" i="4" l="1"/>
  <c r="I466" i="4"/>
  <c r="I465" i="4"/>
  <c r="H465" i="4"/>
  <c r="G465" i="4"/>
  <c r="G462" i="4" s="1"/>
  <c r="H474" i="4"/>
  <c r="G474" i="4"/>
  <c r="G471" i="4" s="1"/>
  <c r="I475" i="4"/>
  <c r="I474" i="4" s="1"/>
  <c r="H456" i="4"/>
  <c r="G456" i="4"/>
  <c r="I457" i="4"/>
  <c r="I452" i="4"/>
  <c r="I451" i="4" s="1"/>
  <c r="H451" i="4"/>
  <c r="G451" i="4"/>
  <c r="H462" i="4" l="1"/>
  <c r="G461" i="4"/>
  <c r="D135" i="14"/>
  <c r="F142" i="14"/>
  <c r="F141" i="14"/>
  <c r="E141" i="14"/>
  <c r="D141" i="14"/>
  <c r="F136" i="14"/>
  <c r="F135" i="14"/>
  <c r="E135" i="14"/>
  <c r="E134" i="14" l="1"/>
  <c r="E133" i="14" s="1"/>
  <c r="E366" i="14" s="1"/>
  <c r="F134" i="14"/>
  <c r="F133" i="14" s="1"/>
  <c r="F366" i="14" s="1"/>
  <c r="D134" i="14"/>
  <c r="D133" i="14"/>
  <c r="D366" i="14" s="1"/>
  <c r="D364" i="14" l="1"/>
  <c r="E364" i="14"/>
  <c r="F364" i="14"/>
  <c r="J33" i="4" l="1"/>
  <c r="I33" i="4"/>
  <c r="K33" i="4"/>
  <c r="F275" i="14"/>
  <c r="L11" i="23" l="1"/>
  <c r="M11" i="23"/>
  <c r="N11" i="23"/>
  <c r="L12" i="23"/>
  <c r="M12" i="23"/>
  <c r="N12" i="23"/>
  <c r="L13" i="23"/>
  <c r="M13" i="23"/>
  <c r="N13" i="23"/>
  <c r="L14" i="23"/>
  <c r="M14" i="23"/>
  <c r="N14" i="23"/>
  <c r="L15" i="23"/>
  <c r="M15" i="23"/>
  <c r="N15" i="23"/>
  <c r="M9" i="23"/>
  <c r="N9" i="23"/>
  <c r="L9" i="23"/>
  <c r="G15" i="23"/>
  <c r="G14" i="23"/>
  <c r="G13" i="23"/>
  <c r="G12" i="23"/>
  <c r="G11" i="23"/>
  <c r="G9" i="23"/>
  <c r="G8" i="23" s="1"/>
  <c r="J8" i="23"/>
  <c r="I8" i="23"/>
  <c r="H8" i="23"/>
  <c r="K15" i="23"/>
  <c r="C15" i="23"/>
  <c r="K14" i="23"/>
  <c r="C14" i="23"/>
  <c r="K13" i="23"/>
  <c r="C13" i="23"/>
  <c r="K12" i="23"/>
  <c r="C12" i="23"/>
  <c r="K11" i="23"/>
  <c r="C11" i="23"/>
  <c r="A11" i="23"/>
  <c r="A12" i="23" s="1"/>
  <c r="A13" i="23" s="1"/>
  <c r="K9" i="23"/>
  <c r="C9" i="23"/>
  <c r="N8" i="23"/>
  <c r="M8" i="23"/>
  <c r="L8" i="23"/>
  <c r="K8" i="23"/>
  <c r="F8" i="23"/>
  <c r="E8" i="23"/>
  <c r="D8" i="23"/>
  <c r="C8" i="23"/>
  <c r="E22" i="16" l="1"/>
  <c r="E21" i="16" s="1"/>
  <c r="J22" i="16"/>
  <c r="I22" i="16"/>
  <c r="H22" i="16" l="1"/>
  <c r="H21" i="16" s="1"/>
  <c r="I21" i="16"/>
  <c r="E20" i="16"/>
  <c r="E31" i="16" s="1"/>
  <c r="F255" i="14"/>
  <c r="F254" i="14" s="1"/>
  <c r="E255" i="14"/>
  <c r="D255" i="14"/>
  <c r="D254" i="14" s="1"/>
  <c r="E254" i="14"/>
  <c r="E253" i="14" s="1"/>
  <c r="E379" i="14" s="1"/>
  <c r="F249" i="14"/>
  <c r="E249" i="14"/>
  <c r="D249" i="14"/>
  <c r="F248" i="14"/>
  <c r="F247" i="14" s="1"/>
  <c r="F378" i="14" s="1"/>
  <c r="E248" i="14"/>
  <c r="E247" i="14" s="1"/>
  <c r="E378" i="14" s="1"/>
  <c r="D248" i="14"/>
  <c r="F288" i="14"/>
  <c r="E288" i="14"/>
  <c r="D288" i="14"/>
  <c r="E315" i="14"/>
  <c r="D315" i="14"/>
  <c r="E313" i="14"/>
  <c r="E312" i="14" s="1"/>
  <c r="E311" i="14" s="1"/>
  <c r="F313" i="14"/>
  <c r="F312" i="14" s="1"/>
  <c r="D313" i="14"/>
  <c r="D312" i="14" s="1"/>
  <c r="D311" i="14" s="1"/>
  <c r="F311" i="14"/>
  <c r="F285" i="14"/>
  <c r="F284" i="14"/>
  <c r="E284" i="14"/>
  <c r="D284" i="14"/>
  <c r="F283" i="14"/>
  <c r="F282" i="14"/>
  <c r="E282" i="14"/>
  <c r="D282" i="14"/>
  <c r="F281" i="14"/>
  <c r="F280" i="14"/>
  <c r="E280" i="14"/>
  <c r="D280" i="14"/>
  <c r="F279" i="14"/>
  <c r="F278" i="14"/>
  <c r="E278" i="14"/>
  <c r="D278" i="14"/>
  <c r="F277" i="14"/>
  <c r="F276" i="14" s="1"/>
  <c r="E276" i="14"/>
  <c r="D276" i="14"/>
  <c r="F274" i="14"/>
  <c r="F273" i="14" s="1"/>
  <c r="F272" i="14" s="1"/>
  <c r="E274" i="14"/>
  <c r="E273" i="14" s="1"/>
  <c r="E272" i="14" s="1"/>
  <c r="D274" i="14"/>
  <c r="D273" i="14" s="1"/>
  <c r="D272" i="14" s="1"/>
  <c r="D242" i="14"/>
  <c r="D386" i="14" s="1"/>
  <c r="F242" i="14"/>
  <c r="F386" i="14" s="1"/>
  <c r="E242" i="14"/>
  <c r="E386" i="14" s="1"/>
  <c r="F235" i="14"/>
  <c r="F234" i="14" s="1"/>
  <c r="E235" i="14"/>
  <c r="E234" i="14" s="1"/>
  <c r="D235" i="14"/>
  <c r="D234" i="14" s="1"/>
  <c r="E233" i="14"/>
  <c r="E385" i="14" s="1"/>
  <c r="F374" i="14"/>
  <c r="F359" i="14"/>
  <c r="D359" i="14"/>
  <c r="H20" i="16"/>
  <c r="H31" i="16" s="1"/>
  <c r="J20" i="16"/>
  <c r="I20" i="16"/>
  <c r="I31" i="16" s="1"/>
  <c r="H18" i="16"/>
  <c r="H17" i="16"/>
  <c r="J16" i="16"/>
  <c r="I16" i="16"/>
  <c r="H16" i="16"/>
  <c r="J15" i="16"/>
  <c r="I15" i="16"/>
  <c r="H15" i="16"/>
  <c r="H14" i="16"/>
  <c r="H13" i="16"/>
  <c r="H12" i="16"/>
  <c r="H11" i="16"/>
  <c r="H10" i="16"/>
  <c r="J9" i="16"/>
  <c r="I9" i="16"/>
  <c r="H9" i="16"/>
  <c r="J8" i="16"/>
  <c r="I8" i="16"/>
  <c r="H8" i="16"/>
  <c r="F24" i="18"/>
  <c r="F23" i="18"/>
  <c r="F22" i="18"/>
  <c r="F21" i="18"/>
  <c r="F20" i="18"/>
  <c r="F19" i="18"/>
  <c r="F18" i="18"/>
  <c r="F13" i="18"/>
  <c r="F12" i="18"/>
  <c r="P11" i="18"/>
  <c r="O11" i="18"/>
  <c r="N11" i="18"/>
  <c r="M11" i="18"/>
  <c r="L11" i="18"/>
  <c r="K11" i="18"/>
  <c r="J11" i="18"/>
  <c r="I11" i="18"/>
  <c r="H11" i="18"/>
  <c r="G11" i="18"/>
  <c r="G10" i="18" s="1"/>
  <c r="F11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F9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P7" i="18"/>
  <c r="P25" i="18" s="1"/>
  <c r="O7" i="18"/>
  <c r="O25" i="18" s="1"/>
  <c r="N7" i="18"/>
  <c r="N25" i="18" s="1"/>
  <c r="M7" i="18"/>
  <c r="M25" i="18" s="1"/>
  <c r="L7" i="18"/>
  <c r="L25" i="18" s="1"/>
  <c r="K7" i="18"/>
  <c r="K25" i="18" s="1"/>
  <c r="J7" i="18"/>
  <c r="J25" i="18" s="1"/>
  <c r="I7" i="18"/>
  <c r="I25" i="18" s="1"/>
  <c r="H7" i="18"/>
  <c r="H25" i="18" s="1"/>
  <c r="G7" i="18"/>
  <c r="G25" i="18" s="1"/>
  <c r="F7" i="18"/>
  <c r="H6" i="18"/>
  <c r="I6" i="18" s="1"/>
  <c r="J6" i="18" s="1"/>
  <c r="K6" i="18" s="1"/>
  <c r="L6" i="18" s="1"/>
  <c r="M6" i="18" s="1"/>
  <c r="N6" i="18" s="1"/>
  <c r="O6" i="18" s="1"/>
  <c r="D233" i="14" l="1"/>
  <c r="D385" i="14" s="1"/>
  <c r="D387" i="14" s="1"/>
  <c r="C10" i="11" s="1"/>
  <c r="F233" i="14"/>
  <c r="F385" i="14" s="1"/>
  <c r="F387" i="14" s="1"/>
  <c r="E10" i="11" s="1"/>
  <c r="E387" i="14"/>
  <c r="D10" i="11" s="1"/>
  <c r="F10" i="18"/>
  <c r="F25" i="18" s="1"/>
  <c r="F382" i="14"/>
  <c r="E382" i="14"/>
  <c r="D382" i="14"/>
  <c r="F381" i="14"/>
  <c r="E381" i="14"/>
  <c r="D253" i="14"/>
  <c r="D379" i="14" s="1"/>
  <c r="F253" i="14"/>
  <c r="F379" i="14" s="1"/>
  <c r="D247" i="14"/>
  <c r="D378" i="14" s="1"/>
  <c r="E383" i="14"/>
  <c r="D381" i="14" l="1"/>
  <c r="D383" i="14" s="1"/>
  <c r="D11" i="11"/>
  <c r="F383" i="14"/>
  <c r="E11" i="11"/>
  <c r="B22" i="16"/>
  <c r="H401" i="4" l="1"/>
  <c r="H400" i="4" s="1"/>
  <c r="H399" i="4" s="1"/>
  <c r="G401" i="4"/>
  <c r="G400" i="4" s="1"/>
  <c r="G399" i="4" s="1"/>
  <c r="I402" i="4"/>
  <c r="I401" i="4" s="1"/>
  <c r="I400" i="4" s="1"/>
  <c r="I399" i="4" s="1"/>
  <c r="G398" i="4"/>
  <c r="G397" i="4" s="1"/>
  <c r="I426" i="4"/>
  <c r="I425" i="4"/>
  <c r="H425" i="4"/>
  <c r="G425" i="4"/>
  <c r="I398" i="4" l="1"/>
  <c r="H398" i="4"/>
  <c r="H397" i="4" l="1"/>
  <c r="I397" i="4"/>
  <c r="I518" i="4" l="1"/>
  <c r="I517" i="4"/>
  <c r="I516" i="4"/>
  <c r="H516" i="4"/>
  <c r="G516" i="4"/>
  <c r="I515" i="4"/>
  <c r="H515" i="4"/>
  <c r="G515" i="4"/>
  <c r="I514" i="4"/>
  <c r="I513" i="4" s="1"/>
  <c r="I571" i="4" s="1"/>
  <c r="I570" i="4" s="1"/>
  <c r="H514" i="4"/>
  <c r="H513" i="4" s="1"/>
  <c r="H571" i="4" s="1"/>
  <c r="H570" i="4" s="1"/>
  <c r="G514" i="4"/>
  <c r="G513" i="4" s="1"/>
  <c r="G571" i="4" s="1"/>
  <c r="G570" i="4" s="1"/>
  <c r="I473" i="4"/>
  <c r="I472" i="4"/>
  <c r="I471" i="4" s="1"/>
  <c r="H472" i="4"/>
  <c r="H471" i="4" s="1"/>
  <c r="H461" i="4" s="1"/>
  <c r="I464" i="4"/>
  <c r="I463" i="4" s="1"/>
  <c r="I462" i="4" s="1"/>
  <c r="I461" i="4" s="1"/>
  <c r="I460" i="4"/>
  <c r="H460" i="4"/>
  <c r="G460" i="4"/>
  <c r="I450" i="4"/>
  <c r="I449" i="4"/>
  <c r="H449" i="4"/>
  <c r="G449" i="4"/>
  <c r="I443" i="4"/>
  <c r="I442" i="4"/>
  <c r="H442" i="4"/>
  <c r="G442" i="4"/>
  <c r="I441" i="4"/>
  <c r="H441" i="4"/>
  <c r="G441" i="4"/>
  <c r="I440" i="4"/>
  <c r="I439" i="4" s="1"/>
  <c r="I438" i="4" s="1"/>
  <c r="H440" i="4"/>
  <c r="H439" i="4" s="1"/>
  <c r="H438" i="4" s="1"/>
  <c r="G440" i="4"/>
  <c r="G439" i="4" s="1"/>
  <c r="G438" i="4" s="1"/>
  <c r="G448" i="4" l="1"/>
  <c r="G447" i="4" s="1"/>
  <c r="G446" i="4" s="1"/>
  <c r="H448" i="4"/>
  <c r="H447" i="4" s="1"/>
  <c r="H446" i="4" s="1"/>
  <c r="I448" i="4"/>
  <c r="I447" i="4" s="1"/>
  <c r="I446" i="4" s="1"/>
  <c r="I378" i="4" l="1"/>
  <c r="I377" i="4"/>
  <c r="H377" i="4"/>
  <c r="G377" i="4"/>
  <c r="I376" i="4"/>
  <c r="H376" i="4"/>
  <c r="G376" i="4"/>
  <c r="I375" i="4"/>
  <c r="I374" i="4" s="1"/>
  <c r="I546" i="4" s="1"/>
  <c r="H375" i="4"/>
  <c r="H374" i="4" s="1"/>
  <c r="H546" i="4" s="1"/>
  <c r="G375" i="4"/>
  <c r="G374" i="4" s="1"/>
  <c r="G546" i="4" s="1"/>
  <c r="I347" i="4"/>
  <c r="I345" i="4" s="1"/>
  <c r="I359" i="4"/>
  <c r="I358" i="4" s="1"/>
  <c r="I356" i="4"/>
  <c r="H351" i="4"/>
  <c r="G351" i="4"/>
  <c r="I354" i="4"/>
  <c r="I352" i="4" s="1"/>
  <c r="I349" i="4"/>
  <c r="I348" i="4" s="1"/>
  <c r="I344" i="4"/>
  <c r="H344" i="4"/>
  <c r="G344" i="4"/>
  <c r="I369" i="4"/>
  <c r="I368" i="4"/>
  <c r="I367" i="4"/>
  <c r="I366" i="4" s="1"/>
  <c r="H367" i="4"/>
  <c r="H366" i="4" s="1"/>
  <c r="G367" i="4"/>
  <c r="I365" i="4"/>
  <c r="H365" i="4"/>
  <c r="G365" i="4"/>
  <c r="I337" i="4"/>
  <c r="I336" i="4"/>
  <c r="H336" i="4"/>
  <c r="G336" i="4"/>
  <c r="I335" i="4"/>
  <c r="H335" i="4"/>
  <c r="G335" i="4"/>
  <c r="I334" i="4"/>
  <c r="H334" i="4"/>
  <c r="G334" i="4"/>
  <c r="I331" i="4"/>
  <c r="I330" i="4"/>
  <c r="I329" i="4" s="1"/>
  <c r="H330" i="4"/>
  <c r="H329" i="4" s="1"/>
  <c r="G330" i="4"/>
  <c r="I328" i="4"/>
  <c r="I617" i="4" s="1"/>
  <c r="H328" i="4"/>
  <c r="H617" i="4" s="1"/>
  <c r="I327" i="4"/>
  <c r="I326" i="4"/>
  <c r="I325" i="4"/>
  <c r="H325" i="4"/>
  <c r="G325" i="4"/>
  <c r="I324" i="4"/>
  <c r="H324" i="4"/>
  <c r="G324" i="4"/>
  <c r="I323" i="4"/>
  <c r="H323" i="4"/>
  <c r="H616" i="4" s="1"/>
  <c r="H618" i="4" s="1"/>
  <c r="G323" i="4"/>
  <c r="G616" i="4" s="1"/>
  <c r="I303" i="4"/>
  <c r="I302" i="4"/>
  <c r="I301" i="4" s="1"/>
  <c r="H302" i="4"/>
  <c r="H301" i="4" s="1"/>
  <c r="G302" i="4"/>
  <c r="G301" i="4" s="1"/>
  <c r="I300" i="4"/>
  <c r="I604" i="4" s="1"/>
  <c r="H300" i="4"/>
  <c r="H604" i="4" s="1"/>
  <c r="G300" i="4"/>
  <c r="G604" i="4" s="1"/>
  <c r="H343" i="4" l="1"/>
  <c r="G299" i="4"/>
  <c r="G541" i="4" s="1"/>
  <c r="G333" i="4"/>
  <c r="G544" i="4" s="1"/>
  <c r="H333" i="4"/>
  <c r="H544" i="4" s="1"/>
  <c r="I333" i="4"/>
  <c r="I544" i="4" s="1"/>
  <c r="H299" i="4"/>
  <c r="H541" i="4" s="1"/>
  <c r="I299" i="4"/>
  <c r="I541" i="4" s="1"/>
  <c r="G329" i="4"/>
  <c r="G328" i="4" s="1"/>
  <c r="I616" i="4"/>
  <c r="I618" i="4" s="1"/>
  <c r="D604" i="4"/>
  <c r="C604" i="4" s="1"/>
  <c r="I351" i="4"/>
  <c r="I343" i="4" s="1"/>
  <c r="I603" i="4" s="1"/>
  <c r="D616" i="4"/>
  <c r="C616" i="4" s="1"/>
  <c r="H603" i="4"/>
  <c r="G343" i="4"/>
  <c r="G603" i="4" s="1"/>
  <c r="I261" i="4"/>
  <c r="I260" i="4"/>
  <c r="H260" i="4"/>
  <c r="G260" i="4"/>
  <c r="I259" i="4"/>
  <c r="H259" i="4"/>
  <c r="G259" i="4"/>
  <c r="I258" i="4"/>
  <c r="I605" i="4" s="1"/>
  <c r="H258" i="4"/>
  <c r="H605" i="4" s="1"/>
  <c r="G258" i="4"/>
  <c r="I253" i="4"/>
  <c r="I252" i="4"/>
  <c r="H252" i="4"/>
  <c r="G252" i="4"/>
  <c r="I251" i="4"/>
  <c r="I250" i="4"/>
  <c r="H250" i="4"/>
  <c r="G250" i="4"/>
  <c r="I249" i="4"/>
  <c r="H249" i="4"/>
  <c r="G249" i="4"/>
  <c r="I248" i="4"/>
  <c r="H248" i="4"/>
  <c r="G248" i="4"/>
  <c r="I247" i="4"/>
  <c r="I246" i="4"/>
  <c r="I245" i="4"/>
  <c r="H245" i="4"/>
  <c r="G245" i="4"/>
  <c r="I244" i="4"/>
  <c r="H244" i="4"/>
  <c r="G244" i="4"/>
  <c r="I243" i="4"/>
  <c r="H243" i="4"/>
  <c r="G243" i="4"/>
  <c r="I233" i="4"/>
  <c r="I232" i="4"/>
  <c r="H232" i="4"/>
  <c r="G232" i="4"/>
  <c r="I231" i="4"/>
  <c r="H231" i="4"/>
  <c r="G231" i="4"/>
  <c r="I230" i="4"/>
  <c r="I229" i="4" s="1"/>
  <c r="H230" i="4"/>
  <c r="H229" i="4" s="1"/>
  <c r="G230" i="4"/>
  <c r="G229" i="4" s="1"/>
  <c r="I228" i="4"/>
  <c r="I227" i="4"/>
  <c r="I226" i="4"/>
  <c r="H226" i="4"/>
  <c r="G226" i="4"/>
  <c r="I225" i="4"/>
  <c r="I224" i="4" s="1"/>
  <c r="H225" i="4"/>
  <c r="H224" i="4" s="1"/>
  <c r="G225" i="4"/>
  <c r="G224" i="4" s="1"/>
  <c r="I193" i="4"/>
  <c r="I192" i="4" s="1"/>
  <c r="H193" i="4"/>
  <c r="H192" i="4" s="1"/>
  <c r="G193" i="4"/>
  <c r="G192" i="4" s="1"/>
  <c r="I191" i="4"/>
  <c r="I190" i="4"/>
  <c r="H190" i="4"/>
  <c r="G190" i="4"/>
  <c r="I189" i="4"/>
  <c r="I188" i="4"/>
  <c r="H188" i="4"/>
  <c r="G188" i="4"/>
  <c r="I187" i="4"/>
  <c r="H187" i="4"/>
  <c r="G187" i="4"/>
  <c r="I186" i="4"/>
  <c r="I185" i="4" s="1"/>
  <c r="H186" i="4"/>
  <c r="H185" i="4" s="1"/>
  <c r="G186" i="4"/>
  <c r="G185" i="4" s="1"/>
  <c r="G617" i="4" l="1"/>
  <c r="G618" i="4" s="1"/>
  <c r="D618" i="4" s="1"/>
  <c r="C618" i="4" s="1"/>
  <c r="D617" i="4"/>
  <c r="C617" i="4" s="1"/>
  <c r="G605" i="4"/>
  <c r="D605" i="4" s="1"/>
  <c r="C605" i="4" s="1"/>
  <c r="H120" i="4"/>
  <c r="I129" i="4"/>
  <c r="I128" i="4"/>
  <c r="H128" i="4"/>
  <c r="G128" i="4"/>
  <c r="I127" i="4"/>
  <c r="H127" i="4"/>
  <c r="G127" i="4"/>
  <c r="G126" i="4" s="1"/>
  <c r="G125" i="4" s="1"/>
  <c r="G576" i="4" s="1"/>
  <c r="I126" i="4"/>
  <c r="I125" i="4" s="1"/>
  <c r="I576" i="4" s="1"/>
  <c r="H126" i="4"/>
  <c r="H125" i="4" s="1"/>
  <c r="H576" i="4" s="1"/>
  <c r="H119" i="4"/>
  <c r="I117" i="4"/>
  <c r="I116" i="4"/>
  <c r="H116" i="4"/>
  <c r="G116" i="4"/>
  <c r="I115" i="4"/>
  <c r="H115" i="4"/>
  <c r="G115" i="4"/>
  <c r="I114" i="4"/>
  <c r="I597" i="4" s="1"/>
  <c r="H114" i="4"/>
  <c r="H597" i="4" s="1"/>
  <c r="G114" i="4"/>
  <c r="G597" i="4" s="1"/>
  <c r="I111" i="4"/>
  <c r="I110" i="4"/>
  <c r="I109" i="4"/>
  <c r="H109" i="4"/>
  <c r="G109" i="4"/>
  <c r="I108" i="4"/>
  <c r="I107" i="4"/>
  <c r="H107" i="4"/>
  <c r="G107" i="4"/>
  <c r="I106" i="4"/>
  <c r="I105" i="4" s="1"/>
  <c r="H106" i="4"/>
  <c r="H105" i="4" s="1"/>
  <c r="G106" i="4"/>
  <c r="G105" i="4" s="1"/>
  <c r="H99" i="4"/>
  <c r="H98" i="4" s="1"/>
  <c r="H97" i="4" s="1"/>
  <c r="H96" i="4" s="1"/>
  <c r="I101" i="4"/>
  <c r="I100" i="4"/>
  <c r="G99" i="4"/>
  <c r="G98" i="4"/>
  <c r="G97" i="4"/>
  <c r="I94" i="4"/>
  <c r="I93" i="4"/>
  <c r="H93" i="4"/>
  <c r="G93" i="4"/>
  <c r="I92" i="4"/>
  <c r="I91" i="4"/>
  <c r="H91" i="4"/>
  <c r="G91" i="4"/>
  <c r="I90" i="4"/>
  <c r="I89" i="4"/>
  <c r="H89" i="4"/>
  <c r="G89" i="4"/>
  <c r="I88" i="4"/>
  <c r="I87" i="4"/>
  <c r="H87" i="4"/>
  <c r="G87" i="4"/>
  <c r="I86" i="4"/>
  <c r="I85" i="4" s="1"/>
  <c r="I611" i="4" s="1"/>
  <c r="H86" i="4"/>
  <c r="H85" i="4" s="1"/>
  <c r="H611" i="4" s="1"/>
  <c r="G86" i="4"/>
  <c r="G85" i="4" s="1"/>
  <c r="G611" i="4" s="1"/>
  <c r="D611" i="4"/>
  <c r="C611" i="4" s="1"/>
  <c r="I82" i="4"/>
  <c r="I81" i="4"/>
  <c r="I80" i="4"/>
  <c r="I79" i="4"/>
  <c r="I78" i="4"/>
  <c r="H78" i="4"/>
  <c r="G78" i="4"/>
  <c r="G77" i="4" s="1"/>
  <c r="G76" i="4" s="1"/>
  <c r="G610" i="4" s="1"/>
  <c r="I77" i="4"/>
  <c r="I76" i="4" s="1"/>
  <c r="I610" i="4" s="1"/>
  <c r="H77" i="4"/>
  <c r="H76" i="4" s="1"/>
  <c r="H610" i="4" s="1"/>
  <c r="I73" i="4"/>
  <c r="I72" i="4"/>
  <c r="H72" i="4"/>
  <c r="G72" i="4"/>
  <c r="I71" i="4"/>
  <c r="I70" i="4" s="1"/>
  <c r="H71" i="4"/>
  <c r="H70" i="4" s="1"/>
  <c r="G71" i="4"/>
  <c r="G66" i="4"/>
  <c r="G65" i="4" s="1"/>
  <c r="I68" i="4"/>
  <c r="I67" i="4"/>
  <c r="I66" i="4"/>
  <c r="I65" i="4" s="1"/>
  <c r="H66" i="4"/>
  <c r="H65" i="4" s="1"/>
  <c r="G64" i="4"/>
  <c r="G63" i="4" s="1"/>
  <c r="I64" i="4"/>
  <c r="I63" i="4" s="1"/>
  <c r="H64" i="4"/>
  <c r="H63" i="4" s="1"/>
  <c r="I62" i="4"/>
  <c r="I61" i="4"/>
  <c r="H61" i="4"/>
  <c r="G61" i="4"/>
  <c r="H59" i="4"/>
  <c r="H57" i="4"/>
  <c r="H56" i="4" s="1"/>
  <c r="H55" i="4" s="1"/>
  <c r="I60" i="4"/>
  <c r="I59" i="4" s="1"/>
  <c r="G59" i="4"/>
  <c r="I58" i="4"/>
  <c r="I57" i="4" s="1"/>
  <c r="G57" i="4"/>
  <c r="G56" i="4" s="1"/>
  <c r="G55" i="4" s="1"/>
  <c r="G613" i="4" s="1"/>
  <c r="I48" i="4"/>
  <c r="I47" i="4"/>
  <c r="I46" i="4" s="1"/>
  <c r="H47" i="4"/>
  <c r="H46" i="4" s="1"/>
  <c r="G47" i="4"/>
  <c r="G46" i="4" s="1"/>
  <c r="I45" i="4"/>
  <c r="I44" i="4"/>
  <c r="H44" i="4"/>
  <c r="G44" i="4"/>
  <c r="I43" i="4"/>
  <c r="I42" i="4"/>
  <c r="H42" i="4"/>
  <c r="G42" i="4"/>
  <c r="I41" i="4"/>
  <c r="I40" i="4"/>
  <c r="H40" i="4"/>
  <c r="G40" i="4"/>
  <c r="I39" i="4"/>
  <c r="I38" i="4"/>
  <c r="H38" i="4"/>
  <c r="G38" i="4"/>
  <c r="I37" i="4"/>
  <c r="I36" i="4"/>
  <c r="H36" i="4"/>
  <c r="G36" i="4"/>
  <c r="I35" i="4"/>
  <c r="I34" i="4"/>
  <c r="H34" i="4"/>
  <c r="G34" i="4"/>
  <c r="I32" i="4"/>
  <c r="I31" i="4" s="1"/>
  <c r="I30" i="4" s="1"/>
  <c r="H32" i="4"/>
  <c r="H31" i="4" s="1"/>
  <c r="G32" i="4"/>
  <c r="G104" i="4" l="1"/>
  <c r="G596" i="4"/>
  <c r="H104" i="4"/>
  <c r="H596" i="4"/>
  <c r="I104" i="4"/>
  <c r="I596" i="4"/>
  <c r="I29" i="4"/>
  <c r="I551" i="4" s="1"/>
  <c r="G96" i="4"/>
  <c r="H609" i="4"/>
  <c r="H69" i="4"/>
  <c r="I609" i="4"/>
  <c r="I69" i="4"/>
  <c r="H613" i="4"/>
  <c r="H54" i="4"/>
  <c r="G54" i="4"/>
  <c r="G31" i="4"/>
  <c r="G30" i="4" s="1"/>
  <c r="H30" i="4"/>
  <c r="G70" i="4"/>
  <c r="I56" i="4"/>
  <c r="I55" i="4" s="1"/>
  <c r="D613" i="4"/>
  <c r="I99" i="4"/>
  <c r="I98" i="4" s="1"/>
  <c r="I97" i="4" s="1"/>
  <c r="I96" i="4" s="1"/>
  <c r="I22" i="4"/>
  <c r="I21" i="4"/>
  <c r="H21" i="4"/>
  <c r="G21" i="4"/>
  <c r="I20" i="4"/>
  <c r="I19" i="4"/>
  <c r="H19" i="4"/>
  <c r="G19" i="4"/>
  <c r="I18" i="4"/>
  <c r="I17" i="4"/>
  <c r="H17" i="4"/>
  <c r="G17" i="4"/>
  <c r="I16" i="4"/>
  <c r="I15" i="4"/>
  <c r="H15" i="4"/>
  <c r="G15" i="4"/>
  <c r="I14" i="4"/>
  <c r="I13" i="4" s="1"/>
  <c r="I12" i="4"/>
  <c r="I11" i="4" s="1"/>
  <c r="H12" i="4"/>
  <c r="H11" i="4" s="1"/>
  <c r="G12" i="4" l="1"/>
  <c r="G11" i="4" s="1"/>
  <c r="H612" i="4"/>
  <c r="H614" i="4" s="1"/>
  <c r="I612" i="4"/>
  <c r="G612" i="4"/>
  <c r="H29" i="4"/>
  <c r="H551" i="4" s="1"/>
  <c r="G29" i="4"/>
  <c r="G551" i="4" s="1"/>
  <c r="G609" i="4"/>
  <c r="G614" i="4" s="1"/>
  <c r="G69" i="4"/>
  <c r="I613" i="4"/>
  <c r="I54" i="4"/>
  <c r="H10" i="4"/>
  <c r="I10" i="4"/>
  <c r="D610" i="4"/>
  <c r="C610" i="4" s="1"/>
  <c r="C613" i="4"/>
  <c r="I614" i="4" l="1"/>
  <c r="G10" i="4"/>
  <c r="D609" i="4"/>
  <c r="C609" i="4" s="1"/>
  <c r="D614" i="4" l="1"/>
  <c r="C614" i="4" s="1"/>
  <c r="D612" i="4"/>
  <c r="C612" i="4" s="1"/>
  <c r="D12" i="11"/>
  <c r="F325" i="14"/>
  <c r="E325" i="14"/>
  <c r="F377" i="14"/>
  <c r="E377" i="14"/>
  <c r="F184" i="14"/>
  <c r="F372" i="14" s="1"/>
  <c r="E184" i="14"/>
  <c r="E372" i="14" s="1"/>
  <c r="E370" i="14"/>
  <c r="F158" i="14"/>
  <c r="F155" i="14" s="1"/>
  <c r="E158" i="14"/>
  <c r="E156" i="14"/>
  <c r="E155" i="14"/>
  <c r="E154" i="14" s="1"/>
  <c r="E368" i="14" s="1"/>
  <c r="E375" i="14" s="1"/>
  <c r="F125" i="14"/>
  <c r="E125" i="14"/>
  <c r="E124" i="14" s="1"/>
  <c r="E365" i="14" s="1"/>
  <c r="E367" i="14" s="1"/>
  <c r="D8" i="11"/>
  <c r="F99" i="14"/>
  <c r="E99" i="14"/>
  <c r="E98" i="14"/>
  <c r="E357" i="14" s="1"/>
  <c r="F48" i="14"/>
  <c r="E48" i="14"/>
  <c r="F47" i="14"/>
  <c r="F46" i="14" s="1"/>
  <c r="F353" i="14" s="1"/>
  <c r="E47" i="14"/>
  <c r="E46" i="14" s="1"/>
  <c r="E353" i="14" s="1"/>
  <c r="F43" i="14"/>
  <c r="E43" i="14"/>
  <c r="F40" i="14"/>
  <c r="E40" i="14"/>
  <c r="F39" i="14"/>
  <c r="F351" i="14" s="1"/>
  <c r="E39" i="14"/>
  <c r="E351" i="14" s="1"/>
  <c r="F37" i="14"/>
  <c r="E37" i="14"/>
  <c r="F36" i="14"/>
  <c r="E36" i="14"/>
  <c r="F33" i="14"/>
  <c r="E33" i="14"/>
  <c r="F32" i="14"/>
  <c r="E32" i="14"/>
  <c r="F19" i="14"/>
  <c r="E19" i="14"/>
  <c r="E18" i="14"/>
  <c r="E349" i="14" s="1"/>
  <c r="F10" i="14"/>
  <c r="F9" i="14" s="1"/>
  <c r="E10" i="14"/>
  <c r="E9" i="14" s="1"/>
  <c r="E348" i="14" s="1"/>
  <c r="F52" i="12"/>
  <c r="E52" i="12"/>
  <c r="F39" i="12"/>
  <c r="E39" i="12"/>
  <c r="E58" i="12"/>
  <c r="H510" i="4"/>
  <c r="H509" i="4"/>
  <c r="H508" i="4"/>
  <c r="H507" i="4"/>
  <c r="H569" i="4" s="1"/>
  <c r="E55" i="12" s="1"/>
  <c r="H506" i="4"/>
  <c r="H504" i="4"/>
  <c r="I503" i="4"/>
  <c r="I502" i="4"/>
  <c r="I501" i="4"/>
  <c r="I500" i="4"/>
  <c r="H500" i="4"/>
  <c r="H499" i="4" s="1"/>
  <c r="H591" i="4" s="1"/>
  <c r="I487" i="4"/>
  <c r="I486" i="4" s="1"/>
  <c r="I485" i="4" s="1"/>
  <c r="H486" i="4"/>
  <c r="H485" i="4"/>
  <c r="H484" i="4" s="1"/>
  <c r="H589" i="4"/>
  <c r="H455" i="4"/>
  <c r="H454" i="4"/>
  <c r="H594" i="4" s="1"/>
  <c r="H453" i="4"/>
  <c r="H554" i="4" s="1"/>
  <c r="I552" i="4"/>
  <c r="H552" i="4"/>
  <c r="H445" i="4"/>
  <c r="I437" i="4"/>
  <c r="I436" i="4"/>
  <c r="H436" i="4"/>
  <c r="I435" i="4"/>
  <c r="H435" i="4"/>
  <c r="I434" i="4"/>
  <c r="H434" i="4"/>
  <c r="I433" i="4"/>
  <c r="I574" i="4" s="1"/>
  <c r="F60" i="12" s="1"/>
  <c r="F59" i="12" s="1"/>
  <c r="H433" i="4"/>
  <c r="H574" i="4" s="1"/>
  <c r="E60" i="12" s="1"/>
  <c r="E59" i="12" s="1"/>
  <c r="I432" i="4"/>
  <c r="I573" i="4" s="1"/>
  <c r="H432" i="4"/>
  <c r="H573" i="4" s="1"/>
  <c r="H428" i="4"/>
  <c r="H427" i="4"/>
  <c r="H423" i="4"/>
  <c r="H422" i="4" s="1"/>
  <c r="H421" i="4" s="1"/>
  <c r="I413" i="4"/>
  <c r="H413" i="4"/>
  <c r="H412" i="4" s="1"/>
  <c r="H567" i="4"/>
  <c r="I411" i="4"/>
  <c r="I410" i="4"/>
  <c r="H410" i="4"/>
  <c r="I409" i="4"/>
  <c r="H409" i="4"/>
  <c r="I408" i="4"/>
  <c r="H408" i="4"/>
  <c r="E49" i="12"/>
  <c r="E45" i="12" s="1"/>
  <c r="E34" i="12"/>
  <c r="F32" i="12"/>
  <c r="E32" i="12"/>
  <c r="H341" i="4"/>
  <c r="H340" i="4" s="1"/>
  <c r="H339" i="4"/>
  <c r="H338" i="4" s="1"/>
  <c r="H545" i="4" s="1"/>
  <c r="E30" i="12"/>
  <c r="H312" i="4"/>
  <c r="H311" i="4"/>
  <c r="I310" i="4"/>
  <c r="I309" i="4"/>
  <c r="H309" i="4"/>
  <c r="I308" i="4"/>
  <c r="H308" i="4"/>
  <c r="H307" i="4" s="1"/>
  <c r="H306" i="4" s="1"/>
  <c r="F27" i="12"/>
  <c r="E27" i="12"/>
  <c r="I298" i="4"/>
  <c r="I297" i="4"/>
  <c r="H297" i="4"/>
  <c r="I296" i="4"/>
  <c r="I295" i="4"/>
  <c r="H295" i="4"/>
  <c r="I293" i="4"/>
  <c r="H292" i="4"/>
  <c r="H291" i="4"/>
  <c r="H290" i="4"/>
  <c r="H585" i="4" s="1"/>
  <c r="H289" i="4"/>
  <c r="H540" i="4" s="1"/>
  <c r="I285" i="4"/>
  <c r="I284" i="4"/>
  <c r="H284" i="4"/>
  <c r="H283" i="4" s="1"/>
  <c r="I282" i="4"/>
  <c r="I281" i="4"/>
  <c r="H281" i="4"/>
  <c r="I280" i="4"/>
  <c r="H280" i="4"/>
  <c r="H279" i="4"/>
  <c r="H278" i="4"/>
  <c r="H274" i="4"/>
  <c r="H273" i="4"/>
  <c r="H602" i="4" s="1"/>
  <c r="I269" i="4"/>
  <c r="H268" i="4"/>
  <c r="I267" i="4"/>
  <c r="I266" i="4"/>
  <c r="H266" i="4"/>
  <c r="H265" i="4"/>
  <c r="H264" i="4" s="1"/>
  <c r="I608" i="4"/>
  <c r="H608" i="4"/>
  <c r="I242" i="4"/>
  <c r="I241" i="4"/>
  <c r="H241" i="4"/>
  <c r="I240" i="4"/>
  <c r="H240" i="4"/>
  <c r="I239" i="4"/>
  <c r="I238" i="4" s="1"/>
  <c r="H239" i="4"/>
  <c r="H238" i="4" s="1"/>
  <c r="E14" i="12"/>
  <c r="I237" i="4"/>
  <c r="I236" i="4"/>
  <c r="I235" i="4" s="1"/>
  <c r="H236" i="4"/>
  <c r="H235" i="4" s="1"/>
  <c r="I234" i="4"/>
  <c r="H234" i="4"/>
  <c r="I526" i="4"/>
  <c r="F12" i="12" s="1"/>
  <c r="H526" i="4"/>
  <c r="E12" i="12" s="1"/>
  <c r="I223" i="4"/>
  <c r="I222" i="4"/>
  <c r="H222" i="4"/>
  <c r="I221" i="4"/>
  <c r="H221" i="4"/>
  <c r="I220" i="4"/>
  <c r="H220" i="4"/>
  <c r="H592" i="4" s="1"/>
  <c r="I217" i="4"/>
  <c r="I216" i="4"/>
  <c r="I215" i="4" s="1"/>
  <c r="H215" i="4"/>
  <c r="I214" i="4"/>
  <c r="I213" i="4" s="1"/>
  <c r="I212" i="4" s="1"/>
  <c r="H213" i="4"/>
  <c r="H212" i="4"/>
  <c r="H211" i="4" s="1"/>
  <c r="H210" i="4" s="1"/>
  <c r="H525" i="4" s="1"/>
  <c r="I209" i="4"/>
  <c r="I208" i="4"/>
  <c r="I207" i="4" s="1"/>
  <c r="I206" i="4"/>
  <c r="I205" i="4"/>
  <c r="H205" i="4"/>
  <c r="H204" i="4"/>
  <c r="H524" i="4" s="1"/>
  <c r="E10" i="12" s="1"/>
  <c r="I203" i="4"/>
  <c r="I202" i="4"/>
  <c r="H202" i="4"/>
  <c r="I201" i="4"/>
  <c r="H201" i="4"/>
  <c r="H579" i="4"/>
  <c r="E65" i="12" s="1"/>
  <c r="I578" i="4"/>
  <c r="F64" i="12" s="1"/>
  <c r="H578" i="4"/>
  <c r="E64" i="12" s="1"/>
  <c r="E63" i="12" s="1"/>
  <c r="H184" i="4"/>
  <c r="H130" i="4" s="1"/>
  <c r="F18" i="12"/>
  <c r="F17" i="12" s="1"/>
  <c r="E18" i="12"/>
  <c r="E17" i="12" s="1"/>
  <c r="F62" i="12"/>
  <c r="F61" i="12" s="1"/>
  <c r="E62" i="12"/>
  <c r="E61" i="12" s="1"/>
  <c r="I124" i="4"/>
  <c r="I575" i="4" s="1"/>
  <c r="H124" i="4"/>
  <c r="H575" i="4" s="1"/>
  <c r="H122" i="4"/>
  <c r="H621" i="4" s="1"/>
  <c r="I121" i="4"/>
  <c r="I120" i="4" s="1"/>
  <c r="I119" i="4"/>
  <c r="H599" i="4"/>
  <c r="I568" i="4"/>
  <c r="F54" i="12" s="1"/>
  <c r="H568" i="4"/>
  <c r="E54" i="12" s="1"/>
  <c r="I95" i="4"/>
  <c r="H95" i="4"/>
  <c r="E40" i="12"/>
  <c r="E38" i="12"/>
  <c r="B21" i="16"/>
  <c r="E344" i="14" l="1"/>
  <c r="H600" i="4"/>
  <c r="H263" i="4"/>
  <c r="H262" i="4" s="1"/>
  <c r="H483" i="4"/>
  <c r="I484" i="4"/>
  <c r="I589" i="4" s="1"/>
  <c r="E350" i="14"/>
  <c r="F350" i="14"/>
  <c r="H535" i="4"/>
  <c r="E26" i="12"/>
  <c r="H118" i="4"/>
  <c r="H587" i="4"/>
  <c r="H407" i="4"/>
  <c r="H565" i="4" s="1"/>
  <c r="E51" i="12" s="1"/>
  <c r="H406" i="4"/>
  <c r="H564" i="4" s="1"/>
  <c r="I407" i="4"/>
  <c r="I565" i="4" s="1"/>
  <c r="F51" i="12" s="1"/>
  <c r="E53" i="12"/>
  <c r="H523" i="4"/>
  <c r="E9" i="12" s="1"/>
  <c r="I523" i="4"/>
  <c r="F9" i="12" s="1"/>
  <c r="H584" i="4"/>
  <c r="H200" i="4"/>
  <c r="H557" i="4"/>
  <c r="E43" i="12" s="1"/>
  <c r="F154" i="14"/>
  <c r="F368" i="14" s="1"/>
  <c r="H586" i="4"/>
  <c r="H588" i="4" s="1"/>
  <c r="I586" i="4"/>
  <c r="H595" i="4"/>
  <c r="F124" i="14"/>
  <c r="F365" i="14" s="1"/>
  <c r="H542" i="4"/>
  <c r="H538" i="4" s="1"/>
  <c r="H558" i="4"/>
  <c r="E44" i="12" s="1"/>
  <c r="H577" i="4"/>
  <c r="H537" i="4"/>
  <c r="E23" i="12" s="1"/>
  <c r="I211" i="4"/>
  <c r="I210" i="4" s="1"/>
  <c r="I525" i="4" s="1"/>
  <c r="C19" i="16"/>
  <c r="C20" i="16"/>
  <c r="B19" i="16"/>
  <c r="B20" i="16"/>
  <c r="D19" i="16"/>
  <c r="D20" i="16"/>
  <c r="F20" i="16"/>
  <c r="F31" i="16" s="1"/>
  <c r="G20" i="16"/>
  <c r="H459" i="4"/>
  <c r="H556" i="4" s="1"/>
  <c r="I555" i="4"/>
  <c r="E57" i="12"/>
  <c r="H512" i="4"/>
  <c r="H530" i="4"/>
  <c r="E16" i="12" s="1"/>
  <c r="H527" i="4"/>
  <c r="E13" i="12" s="1"/>
  <c r="E50" i="12"/>
  <c r="E56" i="12"/>
  <c r="F348" i="14"/>
  <c r="E352" i="14"/>
  <c r="E66" i="12"/>
  <c r="E33" i="12"/>
  <c r="H529" i="4" l="1"/>
  <c r="E15" i="12" s="1"/>
  <c r="H103" i="4"/>
  <c r="H444" i="4"/>
  <c r="H533" i="4"/>
  <c r="E21" i="12"/>
  <c r="E19" i="12" s="1"/>
  <c r="H606" i="4"/>
  <c r="I584" i="4"/>
  <c r="E42" i="12"/>
  <c r="E360" i="14"/>
  <c r="D7" i="11" s="1"/>
  <c r="D6" i="11"/>
  <c r="E392" i="14"/>
  <c r="F367" i="14"/>
  <c r="E8" i="11" s="1"/>
  <c r="H550" i="4"/>
  <c r="H623" i="4"/>
  <c r="E37" i="12"/>
  <c r="H9" i="4"/>
  <c r="H555" i="4"/>
  <c r="E41" i="12" s="1"/>
  <c r="H288" i="4"/>
  <c r="E11" i="12"/>
  <c r="E8" i="12" s="1"/>
  <c r="E346" i="14"/>
  <c r="F66" i="12"/>
  <c r="F11" i="12"/>
  <c r="E28" i="12" l="1"/>
  <c r="E24" i="12" s="1"/>
  <c r="E36" i="12"/>
  <c r="H549" i="4"/>
  <c r="E35" i="12"/>
  <c r="E393" i="14"/>
  <c r="D9" i="11"/>
  <c r="E31" i="12"/>
  <c r="E29" i="12" s="1"/>
  <c r="E67" i="12" s="1"/>
  <c r="E69" i="12" s="1"/>
  <c r="H332" i="4"/>
  <c r="H543" i="4" s="1"/>
  <c r="H522" i="4"/>
  <c r="H102" i="4"/>
  <c r="H8" i="4"/>
  <c r="H199" i="4" l="1"/>
  <c r="H519" i="4"/>
  <c r="J19" i="16"/>
  <c r="H581" i="4"/>
  <c r="H582" i="4" s="1"/>
  <c r="H624" i="4"/>
  <c r="E18" i="16"/>
  <c r="B18" i="16"/>
  <c r="E17" i="16"/>
  <c r="B17" i="16"/>
  <c r="G16" i="16"/>
  <c r="F16" i="16"/>
  <c r="E16" i="16"/>
  <c r="D16" i="16"/>
  <c r="C16" i="16"/>
  <c r="B16" i="16"/>
  <c r="G15" i="16"/>
  <c r="F15" i="16"/>
  <c r="E15" i="16"/>
  <c r="D15" i="16"/>
  <c r="C15" i="16"/>
  <c r="B15" i="16"/>
  <c r="E14" i="16"/>
  <c r="B14" i="16"/>
  <c r="E13" i="16"/>
  <c r="B13" i="16"/>
  <c r="E12" i="16"/>
  <c r="B12" i="16"/>
  <c r="E11" i="16"/>
  <c r="B11" i="16"/>
  <c r="E10" i="16"/>
  <c r="B10" i="16"/>
  <c r="G9" i="16"/>
  <c r="F9" i="16"/>
  <c r="E9" i="16"/>
  <c r="D9" i="16"/>
  <c r="C9" i="16"/>
  <c r="B9" i="16"/>
  <c r="G8" i="16"/>
  <c r="F8" i="16"/>
  <c r="E8" i="16"/>
  <c r="D8" i="16"/>
  <c r="C8" i="16"/>
  <c r="B8" i="16"/>
  <c r="H521" i="4" l="1"/>
  <c r="D48" i="14" l="1"/>
  <c r="D37" i="14"/>
  <c r="D325" i="14" l="1"/>
  <c r="D19" i="14"/>
  <c r="D158" i="14"/>
  <c r="I527" i="4" l="1"/>
  <c r="F13" i="12" s="1"/>
  <c r="G504" i="4"/>
  <c r="G499" i="4" s="1"/>
  <c r="G591" i="4" s="1"/>
  <c r="I505" i="4"/>
  <c r="I504" i="4" s="1"/>
  <c r="I499" i="4" s="1"/>
  <c r="I483" i="4" l="1"/>
  <c r="I591" i="4"/>
  <c r="I558" i="4"/>
  <c r="F44" i="12" s="1"/>
  <c r="F41" i="12" l="1"/>
  <c r="D52" i="12" l="1"/>
  <c r="D39" i="12"/>
  <c r="F38" i="12" l="1"/>
  <c r="G122" i="4"/>
  <c r="I123" i="4"/>
  <c r="I122" i="4" s="1"/>
  <c r="I621" i="4" s="1"/>
  <c r="I118" i="4" l="1"/>
  <c r="I103" i="4" s="1"/>
  <c r="D47" i="14"/>
  <c r="D46" i="14" s="1"/>
  <c r="D353" i="14" s="1"/>
  <c r="D36" i="14"/>
  <c r="D43" i="14"/>
  <c r="D40" i="14"/>
  <c r="D156" i="14"/>
  <c r="D377" i="14"/>
  <c r="D33" i="14"/>
  <c r="D372" i="14" l="1"/>
  <c r="D99" i="14"/>
  <c r="F370" i="14"/>
  <c r="F375" i="14" s="1"/>
  <c r="F98" i="14"/>
  <c r="I529" i="4"/>
  <c r="F15" i="12" s="1"/>
  <c r="D18" i="14"/>
  <c r="D39" i="14"/>
  <c r="D351" i="14" s="1"/>
  <c r="D125" i="14"/>
  <c r="D32" i="14"/>
  <c r="D155" i="14"/>
  <c r="D154" i="14" s="1"/>
  <c r="D368" i="14" s="1"/>
  <c r="C12" i="11"/>
  <c r="F357" i="14" l="1"/>
  <c r="F360" i="14" s="1"/>
  <c r="E7" i="11"/>
  <c r="D370" i="14"/>
  <c r="D375" i="14" s="1"/>
  <c r="C9" i="11" s="1"/>
  <c r="D124" i="14"/>
  <c r="D365" i="14" s="1"/>
  <c r="D367" i="14" s="1"/>
  <c r="E12" i="11"/>
  <c r="D98" i="14"/>
  <c r="D344" i="14" s="1"/>
  <c r="D349" i="14"/>
  <c r="D350" i="14"/>
  <c r="F18" i="14"/>
  <c r="F344" i="14" s="1"/>
  <c r="D357" i="14"/>
  <c r="D360" i="14" l="1"/>
  <c r="D13" i="11"/>
  <c r="D15" i="11" s="1"/>
  <c r="C8" i="11"/>
  <c r="C7" i="11"/>
  <c r="E9" i="11"/>
  <c r="F349" i="14"/>
  <c r="F352" i="14" s="1"/>
  <c r="F392" i="14" s="1"/>
  <c r="D352" i="14"/>
  <c r="C6" i="11" s="1"/>
  <c r="D392" i="14" l="1"/>
  <c r="D393" i="14" s="1"/>
  <c r="F393" i="14"/>
  <c r="E6" i="11"/>
  <c r="E13" i="11"/>
  <c r="E15" i="11" s="1"/>
  <c r="F346" i="14"/>
  <c r="D346" i="14" l="1"/>
  <c r="C11" i="11" l="1"/>
  <c r="I270" i="4"/>
  <c r="I268" i="4" s="1"/>
  <c r="I265" i="4" s="1"/>
  <c r="I264" i="4" s="1"/>
  <c r="I600" i="4" l="1"/>
  <c r="C13" i="11"/>
  <c r="C15" i="11" s="1"/>
  <c r="G410" i="4"/>
  <c r="G409" i="4" s="1"/>
  <c r="G408" i="4" s="1"/>
  <c r="G407" i="4" l="1"/>
  <c r="G428" i="4"/>
  <c r="G427" i="4" s="1"/>
  <c r="I429" i="4"/>
  <c r="I428" i="4" s="1"/>
  <c r="I427" i="4" s="1"/>
  <c r="G312" i="4"/>
  <c r="G311" i="4" s="1"/>
  <c r="I313" i="4"/>
  <c r="I312" i="4" s="1"/>
  <c r="I311" i="4" s="1"/>
  <c r="I307" i="4" s="1"/>
  <c r="G274" i="4"/>
  <c r="G273" i="4" s="1"/>
  <c r="I275" i="4"/>
  <c r="I274" i="4" s="1"/>
  <c r="I273" i="4" s="1"/>
  <c r="I306" i="4" l="1"/>
  <c r="I542" i="4" s="1"/>
  <c r="I263" i="4"/>
  <c r="I587" i="4"/>
  <c r="I535" i="4"/>
  <c r="D601" i="4" l="1"/>
  <c r="C601" i="4" s="1"/>
  <c r="F21" i="12"/>
  <c r="G526" i="4" l="1"/>
  <c r="D12" i="12" s="1"/>
  <c r="G486" i="4"/>
  <c r="G485" i="4" s="1"/>
  <c r="G484" i="4" s="1"/>
  <c r="G483" i="4" s="1"/>
  <c r="F30" i="12"/>
  <c r="G297" i="4"/>
  <c r="G295" i="4"/>
  <c r="I294" i="4"/>
  <c r="I292" i="4" s="1"/>
  <c r="I291" i="4" s="1"/>
  <c r="I290" i="4" s="1"/>
  <c r="I287" i="4"/>
  <c r="G281" i="4"/>
  <c r="G280" i="4" s="1"/>
  <c r="G268" i="4"/>
  <c r="G266" i="4"/>
  <c r="G241" i="4"/>
  <c r="G240" i="4" s="1"/>
  <c r="G239" i="4" s="1"/>
  <c r="G238" i="4" s="1"/>
  <c r="G222" i="4"/>
  <c r="G221" i="4" s="1"/>
  <c r="G220" i="4" s="1"/>
  <c r="G208" i="4"/>
  <c r="G207" i="4" s="1"/>
  <c r="G205" i="4"/>
  <c r="I286" i="4" l="1"/>
  <c r="I283" i="4" s="1"/>
  <c r="I279" i="4" s="1"/>
  <c r="I602" i="4" s="1"/>
  <c r="I557" i="4"/>
  <c r="F43" i="12" s="1"/>
  <c r="F42" i="12" s="1"/>
  <c r="G589" i="4"/>
  <c r="G413" i="4"/>
  <c r="I459" i="4"/>
  <c r="I556" i="4" s="1"/>
  <c r="D32" i="12"/>
  <c r="F14" i="12"/>
  <c r="F28" i="12"/>
  <c r="G341" i="4"/>
  <c r="G340" i="4" s="1"/>
  <c r="I342" i="4"/>
  <c r="I341" i="4" s="1"/>
  <c r="I340" i="4" s="1"/>
  <c r="G423" i="4"/>
  <c r="G422" i="4" s="1"/>
  <c r="G421" i="4" s="1"/>
  <c r="I424" i="4"/>
  <c r="I423" i="4" s="1"/>
  <c r="F49" i="12"/>
  <c r="F45" i="12" s="1"/>
  <c r="I289" i="4"/>
  <c r="G510" i="4"/>
  <c r="G509" i="4" s="1"/>
  <c r="G508" i="4" s="1"/>
  <c r="G507" i="4" s="1"/>
  <c r="I511" i="4"/>
  <c r="I510" i="4" s="1"/>
  <c r="I509" i="4" s="1"/>
  <c r="I508" i="4" s="1"/>
  <c r="G455" i="4"/>
  <c r="G454" i="4" s="1"/>
  <c r="G594" i="4" s="1"/>
  <c r="I458" i="4"/>
  <c r="D66" i="12"/>
  <c r="D622" i="4"/>
  <c r="C622" i="4" s="1"/>
  <c r="D18" i="12"/>
  <c r="D17" i="12" s="1"/>
  <c r="D33" i="12"/>
  <c r="D34" i="12"/>
  <c r="G565" i="4"/>
  <c r="D51" i="12" s="1"/>
  <c r="D30" i="12"/>
  <c r="G292" i="4"/>
  <c r="G608" i="4"/>
  <c r="D14" i="12"/>
  <c r="G202" i="4"/>
  <c r="G201" i="4" s="1"/>
  <c r="G184" i="4"/>
  <c r="G130" i="4" s="1"/>
  <c r="G579" i="4"/>
  <c r="D65" i="12" s="1"/>
  <c r="G265" i="4"/>
  <c r="G124" i="4"/>
  <c r="G575" i="4" s="1"/>
  <c r="G412" i="4" l="1"/>
  <c r="G567" i="4" s="1"/>
  <c r="G569" i="4"/>
  <c r="D55" i="12" s="1"/>
  <c r="G506" i="4"/>
  <c r="G557" i="4"/>
  <c r="D43" i="12" s="1"/>
  <c r="G453" i="4"/>
  <c r="G554" i="4" s="1"/>
  <c r="D40" i="12" s="1"/>
  <c r="D594" i="4"/>
  <c r="G592" i="4"/>
  <c r="G595" i="4" s="1"/>
  <c r="D597" i="4"/>
  <c r="C597" i="4" s="1"/>
  <c r="I606" i="4"/>
  <c r="D589" i="4"/>
  <c r="C589" i="4" s="1"/>
  <c r="I278" i="4"/>
  <c r="I262" i="4" s="1"/>
  <c r="G264" i="4"/>
  <c r="G263" i="4" s="1"/>
  <c r="I456" i="4"/>
  <c r="I455" i="4" s="1"/>
  <c r="I454" i="4" s="1"/>
  <c r="I594" i="4" s="1"/>
  <c r="I422" i="4"/>
  <c r="I421" i="4" s="1"/>
  <c r="F57" i="12"/>
  <c r="D57" i="12"/>
  <c r="G512" i="4"/>
  <c r="G339" i="4"/>
  <c r="G338" i="4" s="1"/>
  <c r="G545" i="4" s="1"/>
  <c r="D27" i="12"/>
  <c r="I339" i="4"/>
  <c r="I585" i="4" s="1"/>
  <c r="I204" i="4"/>
  <c r="I540" i="4"/>
  <c r="I538" i="4" s="1"/>
  <c r="I288" i="4"/>
  <c r="I530" i="4"/>
  <c r="F16" i="12" s="1"/>
  <c r="I507" i="4"/>
  <c r="G204" i="4"/>
  <c r="G524" i="4" s="1"/>
  <c r="D10" i="12" s="1"/>
  <c r="G523" i="4"/>
  <c r="D9" i="12" s="1"/>
  <c r="D58" i="12"/>
  <c r="D56" i="12" s="1"/>
  <c r="D49" i="12"/>
  <c r="D62" i="12"/>
  <c r="D61" i="12" s="1"/>
  <c r="G291" i="4"/>
  <c r="G290" i="4" s="1"/>
  <c r="G585" i="4" s="1"/>
  <c r="G578" i="4"/>
  <c r="D64" i="12" s="1"/>
  <c r="D63" i="12" s="1"/>
  <c r="D603" i="4"/>
  <c r="C603" i="4" s="1"/>
  <c r="G535" i="4" l="1"/>
  <c r="F26" i="12"/>
  <c r="F24" i="12" s="1"/>
  <c r="I412" i="4"/>
  <c r="I406" i="4" s="1"/>
  <c r="G406" i="4"/>
  <c r="I592" i="4"/>
  <c r="I588" i="4"/>
  <c r="I338" i="4"/>
  <c r="I545" i="4" s="1"/>
  <c r="I524" i="4"/>
  <c r="F10" i="12" s="1"/>
  <c r="I200" i="4"/>
  <c r="C594" i="4"/>
  <c r="D585" i="4"/>
  <c r="C585" i="4" s="1"/>
  <c r="F8" i="12"/>
  <c r="G600" i="4"/>
  <c r="D607" i="4"/>
  <c r="C607" i="4" s="1"/>
  <c r="I537" i="4"/>
  <c r="I453" i="4"/>
  <c r="I554" i="4" s="1"/>
  <c r="D53" i="12"/>
  <c r="D592" i="4"/>
  <c r="C592" i="4" s="1"/>
  <c r="I512" i="4"/>
  <c r="I522" i="4"/>
  <c r="G568" i="4"/>
  <c r="D54" i="12" s="1"/>
  <c r="D50" i="12" s="1"/>
  <c r="I579" i="4"/>
  <c r="F65" i="12" s="1"/>
  <c r="F63" i="12" s="1"/>
  <c r="I184" i="4"/>
  <c r="I130" i="4" s="1"/>
  <c r="I567" i="4"/>
  <c r="F58" i="12"/>
  <c r="F56" i="12" s="1"/>
  <c r="I569" i="4"/>
  <c r="F55" i="12" s="1"/>
  <c r="I506" i="4"/>
  <c r="I445" i="4"/>
  <c r="I444" i="4" s="1"/>
  <c r="F40" i="12"/>
  <c r="F34" i="12"/>
  <c r="F33" i="12"/>
  <c r="D45" i="12"/>
  <c r="G289" i="4"/>
  <c r="G540" i="4" s="1"/>
  <c r="G95" i="4"/>
  <c r="G564" i="4" s="1"/>
  <c r="D26" i="12" l="1"/>
  <c r="I564" i="4"/>
  <c r="F23" i="12"/>
  <c r="F19" i="12" s="1"/>
  <c r="I533" i="4"/>
  <c r="D21" i="12"/>
  <c r="F53" i="12"/>
  <c r="F50" i="12" s="1"/>
  <c r="D600" i="4"/>
  <c r="C600" i="4" s="1"/>
  <c r="I577" i="4"/>
  <c r="I102" i="4"/>
  <c r="G577" i="4"/>
  <c r="G120" i="4" l="1"/>
  <c r="G119" i="4" s="1"/>
  <c r="G118" i="4" l="1"/>
  <c r="G103" i="4" s="1"/>
  <c r="G529" i="4"/>
  <c r="D15" i="12" s="1"/>
  <c r="G215" i="4" l="1"/>
  <c r="G236" i="4"/>
  <c r="G213" i="4"/>
  <c r="I599" i="4"/>
  <c r="G235" i="4" l="1"/>
  <c r="G621" i="4" s="1"/>
  <c r="G552" i="4"/>
  <c r="D38" i="12" s="1"/>
  <c r="G102" i="4"/>
  <c r="G234" i="4"/>
  <c r="G436" i="4"/>
  <c r="G435" i="4" s="1"/>
  <c r="G434" i="4" s="1"/>
  <c r="G309" i="4"/>
  <c r="G308" i="4" s="1"/>
  <c r="G307" i="4" s="1"/>
  <c r="G212" i="4"/>
  <c r="G211" i="4" s="1"/>
  <c r="G445" i="4"/>
  <c r="G306" i="4" l="1"/>
  <c r="G542" i="4" s="1"/>
  <c r="G538" i="4" s="1"/>
  <c r="G210" i="4"/>
  <c r="G525" i="4" s="1"/>
  <c r="G584" i="4"/>
  <c r="D621" i="4"/>
  <c r="C621" i="4" s="1"/>
  <c r="D37" i="12"/>
  <c r="G200" i="4"/>
  <c r="I595" i="4"/>
  <c r="I623" i="4" s="1"/>
  <c r="G587" i="4"/>
  <c r="D587" i="4" s="1"/>
  <c r="C587" i="4" s="1"/>
  <c r="D598" i="4"/>
  <c r="C598" i="4" s="1"/>
  <c r="G586" i="4"/>
  <c r="D586" i="4" s="1"/>
  <c r="C586" i="4" s="1"/>
  <c r="G599" i="4"/>
  <c r="D596" i="4"/>
  <c r="C596" i="4" s="1"/>
  <c r="F37" i="12"/>
  <c r="I550" i="4"/>
  <c r="D31" i="12"/>
  <c r="D29" i="12" s="1"/>
  <c r="F31" i="12"/>
  <c r="F29" i="12" s="1"/>
  <c r="I332" i="4"/>
  <c r="I543" i="4" s="1"/>
  <c r="D599" i="4"/>
  <c r="C599" i="4" s="1"/>
  <c r="G530" i="4"/>
  <c r="D16" i="12" s="1"/>
  <c r="G433" i="4"/>
  <c r="G574" i="4" s="1"/>
  <c r="D60" i="12" s="1"/>
  <c r="D59" i="12" s="1"/>
  <c r="G527" i="4"/>
  <c r="D13" i="12" s="1"/>
  <c r="G432" i="4"/>
  <c r="G573" i="4" s="1"/>
  <c r="G284" i="4"/>
  <c r="G283" i="4" s="1"/>
  <c r="G279" i="4" s="1"/>
  <c r="G602" i="4" s="1"/>
  <c r="G332" i="4"/>
  <c r="G543" i="4" s="1"/>
  <c r="I199" i="4" l="1"/>
  <c r="D28" i="12"/>
  <c r="D24" i="12" s="1"/>
  <c r="F36" i="12"/>
  <c r="F35" i="12" s="1"/>
  <c r="F67" i="12" s="1"/>
  <c r="F69" i="12" s="1"/>
  <c r="I549" i="4"/>
  <c r="G606" i="4"/>
  <c r="D606" i="4" s="1"/>
  <c r="C606" i="4" s="1"/>
  <c r="G588" i="4"/>
  <c r="G550" i="4"/>
  <c r="D590" i="4"/>
  <c r="C590" i="4" s="1"/>
  <c r="D602" i="4"/>
  <c r="C602" i="4" s="1"/>
  <c r="D584" i="4"/>
  <c r="C584" i="4" s="1"/>
  <c r="I9" i="4"/>
  <c r="D11" i="12"/>
  <c r="D8" i="12"/>
  <c r="G555" i="4"/>
  <c r="D593" i="4"/>
  <c r="C593" i="4" s="1"/>
  <c r="G288" i="4"/>
  <c r="D41" i="12" l="1"/>
  <c r="G549" i="4"/>
  <c r="G623" i="4"/>
  <c r="D588" i="4"/>
  <c r="C588" i="4" s="1"/>
  <c r="G522" i="4"/>
  <c r="D36" i="12"/>
  <c r="D35" i="12" s="1"/>
  <c r="I8" i="4"/>
  <c r="I581" i="4"/>
  <c r="G9" i="4"/>
  <c r="G278" i="4"/>
  <c r="G262" i="4" s="1"/>
  <c r="G537" i="4"/>
  <c r="D23" i="12" l="1"/>
  <c r="D19" i="12" s="1"/>
  <c r="G533" i="4"/>
  <c r="I519" i="4"/>
  <c r="G199" i="4"/>
  <c r="G459" i="4"/>
  <c r="G556" i="4" s="1"/>
  <c r="G8" i="4"/>
  <c r="I582" i="4"/>
  <c r="I521" i="4"/>
  <c r="G581" i="4"/>
  <c r="G558" i="4"/>
  <c r="D44" i="12" s="1"/>
  <c r="D42" i="12" s="1"/>
  <c r="D67" i="12" s="1"/>
  <c r="D69" i="12" s="1"/>
  <c r="I624" i="4" l="1"/>
  <c r="J520" i="4"/>
  <c r="D591" i="4"/>
  <c r="C591" i="4" s="1"/>
  <c r="G444" i="4"/>
  <c r="G519" i="4" l="1"/>
  <c r="G582" i="4" s="1"/>
  <c r="D595" i="4"/>
  <c r="C595" i="4" s="1"/>
  <c r="G521" i="4"/>
  <c r="G624" i="4"/>
  <c r="I19" i="16" l="1"/>
  <c r="H19" i="16" l="1"/>
  <c r="G19" i="16" l="1"/>
  <c r="F19" i="16" l="1"/>
  <c r="E19" i="16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<sst xmlns="http://schemas.openxmlformats.org/spreadsheetml/2006/main" count="4028" uniqueCount="669">
  <si>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</si>
  <si>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</si>
  <si>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</si>
  <si>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</si>
  <si>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</si>
  <si>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</si>
  <si>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</si>
  <si>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</si>
  <si>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</si>
  <si>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Прочие межбюджетные трансферты общего характера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</si>
  <si>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</si>
  <si>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</si>
  <si>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</si>
  <si>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 xml:space="preserve"> Прочие межбюджетные трансферты общего характера. 
</t>
  </si>
  <si>
    <t>03101 45900</t>
  </si>
  <si>
    <t>01</t>
  </si>
  <si>
    <t>0310120000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</si>
  <si>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</si>
  <si>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</si>
  <si>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</si>
  <si>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</si>
  <si>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</si>
  <si>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</si>
  <si>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</si>
  <si>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</si>
  <si>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</si>
  <si>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</si>
  <si>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</si>
  <si>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</si>
  <si>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</si>
  <si>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 xml:space="preserve">Основное мероприятие Обеспечение доступности информации для населения на территории МО  "Онгудайский район" </t>
  </si>
  <si>
    <t>0120000000</t>
  </si>
  <si>
    <t>Периодическая печать и издательства</t>
  </si>
  <si>
    <t>Средства массовой информации</t>
  </si>
  <si>
    <t>100</t>
  </si>
  <si>
    <t>02101Л0000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</si>
  <si>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</si>
  <si>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</si>
  <si>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</si>
  <si>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</si>
  <si>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 xml:space="preserve">Основное мероприятие Развитие культуры в муниципальном образовании "Онгудайский район" 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</si>
  <si>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</si>
  <si>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</si>
  <si>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</si>
  <si>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</si>
  <si>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</si>
  <si>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</si>
  <si>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</si>
  <si>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</si>
  <si>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</si>
  <si>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</si>
  <si>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</si>
  <si>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</si>
  <si>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</si>
  <si>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</si>
  <si>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</si>
  <si>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</si>
  <si>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</si>
  <si>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</si>
  <si>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</si>
  <si>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</si>
  <si>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</si>
  <si>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0220151350</t>
  </si>
  <si>
    <t>0110000000</t>
  </si>
  <si>
    <t>Социальное обеспечение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</si>
  <si>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</si>
  <si>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</si>
  <si>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</si>
  <si>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</si>
  <si>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400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</si>
  <si>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</si>
  <si>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</si>
  <si>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</si>
  <si>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</si>
  <si>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</si>
  <si>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020А110000</t>
  </si>
  <si>
    <t>Другие вопросы в области культуры, кинематографии</t>
  </si>
  <si>
    <t>Культура</t>
  </si>
  <si>
    <t>Культура и кинематография</t>
  </si>
  <si>
    <t>07</t>
  </si>
  <si>
    <t>800</t>
  </si>
  <si>
    <t>Расходы на обеспечение функций    Отдела образования МО "Онгудайский район"</t>
  </si>
  <si>
    <t>Расходы на выплаты по оплате труда работников   Отдела образования МО "Онгудайский район"</t>
  </si>
  <si>
    <t>Другие вопросы в области образования</t>
  </si>
  <si>
    <t>Молодежная политика и оздоровление детей</t>
  </si>
  <si>
    <t xml:space="preserve">Основное мероприятие Развитие дополнительного образования </t>
  </si>
  <si>
    <t xml:space="preserve">Совершенствование организации питания в   организованных детских коллективах Онгудайского района
</t>
  </si>
  <si>
    <t xml:space="preserve">Основное мероприятие Устойчивое развитие сельских территорий  </t>
  </si>
  <si>
    <t>Общее образование</t>
  </si>
  <si>
    <t>Дошкольное образование</t>
  </si>
  <si>
    <t xml:space="preserve">Образование </t>
  </si>
  <si>
    <t>0420000000</t>
  </si>
  <si>
    <t>Благоустрой ство</t>
  </si>
  <si>
    <t>0420241900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</si>
  <si>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</si>
  <si>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</si>
  <si>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</si>
  <si>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>0320000000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</si>
  <si>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</si>
  <si>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</si>
  <si>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</si>
  <si>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</si>
  <si>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</si>
  <si>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</si>
  <si>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</si>
  <si>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</si>
  <si>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</si>
  <si>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</si>
  <si>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</si>
  <si>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</si>
  <si>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</si>
  <si>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</si>
  <si>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>0410142400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</si>
  <si>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</si>
  <si>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</si>
  <si>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</si>
  <si>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</si>
  <si>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</si>
  <si>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</si>
  <si>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</si>
  <si>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</si>
  <si>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</si>
  <si>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</si>
  <si>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Национальная оборона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</si>
  <si>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</si>
  <si>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</si>
  <si>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</si>
  <si>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</si>
  <si>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</si>
  <si>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</si>
  <si>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</si>
  <si>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</si>
  <si>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</si>
  <si>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</si>
  <si>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</si>
  <si>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</si>
  <si>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>030А192110</t>
  </si>
  <si>
    <t>Расходы на обеспечение функций    Управления по экономике и финансам МО "Онгудайский район"</t>
  </si>
  <si>
    <t>Расходы на выплаты по оплате труда работников  Управления по экономике и финансам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</si>
  <si>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</si>
  <si>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</si>
  <si>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</si>
  <si>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</si>
  <si>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</si>
  <si>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</si>
  <si>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</si>
  <si>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</si>
  <si>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</si>
  <si>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</si>
  <si>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</si>
  <si>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</si>
  <si>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</si>
  <si>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</si>
  <si>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</si>
  <si>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</si>
  <si>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</si>
  <si>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</si>
  <si>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</si>
  <si>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</si>
  <si>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</si>
  <si>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</si>
  <si>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</si>
  <si>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</si>
  <si>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</si>
  <si>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</si>
  <si>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</si>
  <si>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</si>
  <si>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</si>
  <si>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</si>
  <si>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</si>
  <si>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</si>
  <si>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</si>
  <si>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</si>
  <si>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</si>
  <si>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</si>
  <si>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</si>
  <si>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</si>
  <si>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</si>
  <si>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</si>
  <si>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</si>
  <si>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</si>
  <si>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</si>
  <si>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</si>
  <si>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</si>
  <si>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</si>
  <si>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</si>
  <si>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</si>
  <si>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</si>
  <si>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</si>
  <si>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</si>
  <si>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</si>
  <si>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</si>
  <si>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</si>
  <si>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</si>
  <si>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Общеэкономические вопросы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</si>
  <si>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</si>
  <si>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</si>
  <si>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Органы внутренних дел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</si>
  <si>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</si>
  <si>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</si>
  <si>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</si>
  <si>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</si>
  <si>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</si>
  <si>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</si>
  <si>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</si>
  <si>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</si>
  <si>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</si>
  <si>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</si>
  <si>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</si>
  <si>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>РАСПРЕДЕЛЕНИЕ</t>
  </si>
  <si>
    <t xml:space="preserve">Всего </t>
  </si>
  <si>
    <t>810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</si>
  <si>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</si>
  <si>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</si>
  <si>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</si>
  <si>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</si>
  <si>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</si>
  <si>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</si>
  <si>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</si>
  <si>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</si>
  <si>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</si>
  <si>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Итого</t>
  </si>
  <si>
    <t>Наименование муниципальной  программы</t>
  </si>
  <si>
    <t>Код МП</t>
  </si>
  <si>
    <t>Условно-утверждаемые расходы</t>
  </si>
  <si>
    <t>99</t>
  </si>
  <si>
    <t>0310210000</t>
  </si>
  <si>
    <t>Расходы на выплаты по оплате труда работников   МКУ ГОЧС</t>
  </si>
  <si>
    <t>Расходы на обеспечение функций   МКУ ГО ЧС</t>
  </si>
  <si>
    <t>Основное мероприятие Отходы  в муниципальном образовании "Онгудайский район"</t>
  </si>
  <si>
    <t xml:space="preserve">Муниципальная программа "Развитие экономического потенциала и предпринимательства  МО  "Онгудайский район" </t>
  </si>
  <si>
    <t xml:space="preserve">Муниципальная программа" Социальное развитие муниципального образования  "Онгудайский район" </t>
  </si>
  <si>
    <t>Муниципальная программа "Развитие систем жизнеобеспечения и повышение безопасности населения муниципального образования "Онгудайский 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</si>
  <si>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</si>
  <si>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040К100000</t>
  </si>
  <si>
    <t>Расходы на выплаты по оплате труда работников МКУ "Отдел капитального строительства муниципального образования "Онгудайский район"</t>
  </si>
  <si>
    <t>Расходы на обеспечение функций   МКУ "Отдел капитального строительства муниципального образования "Онгудайский район"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</si>
  <si>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</si>
  <si>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</si>
  <si>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Основное мероприятие Развитие библиотечного обслуживания в муниципальном образовании"Онгудайский район"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</si>
  <si>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</si>
  <si>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Основное мероприятие Повышение эффективности использования муниципального жилого фонда</t>
  </si>
  <si>
    <t>Дополнительное  образование детей</t>
  </si>
  <si>
    <t>0500000000</t>
  </si>
  <si>
    <t>Администpация муниципального обpазования "Онгудайский pайон"</t>
  </si>
  <si>
    <t>Управление по экономике и финансам администрации муниципального образования "Онгудайский район"</t>
  </si>
  <si>
    <t>Отдел культуры, спорта и туризма администрации района (аймака) муниципального образования "Онгудайский район"</t>
  </si>
  <si>
    <t>Отдел образования Администрации района (аймака) муниципального образования "Онгудайский район"</t>
  </si>
  <si>
    <t>030А192190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</si>
  <si>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</si>
  <si>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Изменения +,-</t>
  </si>
  <si>
    <t>Изменения:+,-</t>
  </si>
  <si>
    <t>Основное мероприятие: Материально–техническое обеспечение  управления Отдела образования МО "Онгудайский район"</t>
  </si>
  <si>
    <t>Основное мероприятие: Материально–техническое обеспечение централизованного обслуживания  Отдела образования МО "Онгудайский район"</t>
  </si>
  <si>
    <t>Основное мерпориятие: Материально-техническое обеспечение Управления по экономике и финансам МО "Онгудайский район"</t>
  </si>
  <si>
    <t>030А192100</t>
  </si>
  <si>
    <t>0310200000</t>
  </si>
  <si>
    <t>Повышение качества финансового менеджмента главных распорядителей</t>
  </si>
  <si>
    <t>990000Ш000</t>
  </si>
  <si>
    <t>0310140000</t>
  </si>
  <si>
    <t>Основное мерпориятие: Материально-техническое обеспечение Администрации МО "Онгудайский район"</t>
  </si>
  <si>
    <t xml:space="preserve">Обеспечивающая подпрограмма "Повышение эффективности управления в Администрации МО "Онгудайский район"Муниципальная программа "Развитие экономического потенциала и предпринимательства муниципального образования "Онгудайский район" 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</si>
  <si>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</si>
  <si>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</si>
  <si>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</si>
  <si>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</si>
  <si>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</si>
  <si>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0420100000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</si>
  <si>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</si>
  <si>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</si>
  <si>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</si>
  <si>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</si>
  <si>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</si>
  <si>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</si>
  <si>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</si>
  <si>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</si>
  <si>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>Основное мероприятие:Материально – техническое обеспечение МКУ  "Отдел капитального строительства муниципального образования "Онгудайский район</t>
  </si>
  <si>
    <t>0410800000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</si>
  <si>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</si>
  <si>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</si>
  <si>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</si>
  <si>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</si>
  <si>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0110100000</t>
  </si>
  <si>
    <t xml:space="preserve"> Развитие малых форм хозяйствования и кооперации на селе 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</si>
  <si>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</si>
  <si>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</si>
  <si>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</si>
  <si>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</si>
  <si>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</si>
  <si>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</si>
  <si>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</si>
  <si>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 xml:space="preserve">Обеспечивающая подпрограмма  Материально – техническое обеспечение МКУ  "Отдел капитального строительства муниципального образования "Онгудайский район" муниципальной программы "Развитие систем жизнеобеспечения и повышение безопасности населения муниципального образования «Онгудайский  район" </t>
  </si>
  <si>
    <t xml:space="preserve"> Формирование эффективной системы управления и распоряжения муниципальным имуществом муниципального образования "Онгудайский район" </t>
  </si>
  <si>
    <t>Территориальное планирование  в муниципальном образовании "Онгудайский район"</t>
  </si>
  <si>
    <t>Повышение эффективности использования муниципального жилого фонда</t>
  </si>
  <si>
    <t>0110200000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</si>
  <si>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</si>
  <si>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0420110000</t>
  </si>
  <si>
    <t>Основное мероприятие "Организация теплоснабжения населения муниципального образования "Онгудайский район"</t>
  </si>
  <si>
    <t>0420200000</t>
  </si>
  <si>
    <t>0420600000</t>
  </si>
  <si>
    <t>0420610000</t>
  </si>
  <si>
    <t xml:space="preserve">Мероприятия по утилизации отходов в муниципальном образовании "Онгудайский район" 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</si>
  <si>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</si>
  <si>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</si>
  <si>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</si>
  <si>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</si>
  <si>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</si>
  <si>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</si>
  <si>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>0220240000</t>
  </si>
  <si>
    <t>Оказание материальной поддержки, оказавшихся в трудной жизненной ситуации отдельным категориям  граждан муниципального образования "Онгудайский район"</t>
  </si>
  <si>
    <t>0120200000</t>
  </si>
  <si>
    <t xml:space="preserve">Обеспечение доступности информации для населения на территории МО  "Онгудайский район" </t>
  </si>
  <si>
    <t>0120210000</t>
  </si>
  <si>
    <t xml:space="preserve">Реализация молодежной политики муниципального образования "Онгудайский район" </t>
  </si>
  <si>
    <t xml:space="preserve"> Развитие культуры в муниципальном образовании "Онгудайский район" </t>
  </si>
  <si>
    <t>0210600000</t>
  </si>
  <si>
    <t>0210610000</t>
  </si>
  <si>
    <t>Развитие библиотечного обслуживания в муниципальном образовании"Онгудайский район"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</si>
  <si>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«Онгудайский район» муниципальной программы " Социальное развитие муниципального образования  «Онгудайский район» 
</t>
  </si>
  <si>
    <t>Основное мероприятие :Материально–техническое обеспечение Отдела культуры МО "Онгудайский район"</t>
  </si>
  <si>
    <t>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</si>
  <si>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</si>
  <si>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Популяризация  здорового образа жизни</t>
  </si>
  <si>
    <t>010А10000</t>
  </si>
  <si>
    <t>0510000000</t>
  </si>
  <si>
    <t>УУР</t>
  </si>
  <si>
    <t>Финансовый резерв на обеспечение расходных обязательств муниципального образования "Онгудайский район"  на случай недостаточности собственных доходов</t>
  </si>
  <si>
    <t>Обеспечение  деятельности  МКУ "Централизованная бухгалтерия"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</si>
  <si>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</si>
  <si>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Непрограммная деятельность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</si>
  <si>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</si>
  <si>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</si>
  <si>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 xml:space="preserve">Основное мероприятие: Материально–техническое обеспечение  МКУ "Централизованная бухгалтерия" 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</si>
  <si>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</si>
  <si>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</si>
  <si>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</si>
  <si>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</si>
  <si>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</si>
  <si>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</si>
  <si>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</si>
  <si>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</si>
  <si>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</si>
  <si>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</si>
  <si>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Расходы на выплаты по оплате труда работников МКУ Централизованная бухгалтерия 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</si>
  <si>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бюджетам поселений</t>
  </si>
  <si>
    <t>990000П000</t>
  </si>
  <si>
    <t>Финансовый резерв на обеспечение расходных обязательств муниципального образования "Онгудайский район"в части повышения фонда оплаты труда</t>
  </si>
  <si>
    <t>Уточненный план 2019г</t>
  </si>
  <si>
    <t>Меры по противодействию коррупции в границах муниципального района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</si>
  <si>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</si>
  <si>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Коды бюджетной классификации</t>
  </si>
  <si>
    <t>(тыс. рублей)</t>
  </si>
  <si>
    <t>Наименование объекта</t>
  </si>
  <si>
    <t>Сумма  на 2019год</t>
  </si>
  <si>
    <t>Объем расходов всего</t>
  </si>
  <si>
    <t>за счет субсидий и иных межбюджетных трансфертов из республиканского бюджета Республики Алтай</t>
  </si>
  <si>
    <t>за счет местного бюджета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</si>
  <si>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</si>
  <si>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</si>
  <si>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Реконструкция  водопровода в с Купчегень Онгудайского района  Республики Алтай</t>
  </si>
  <si>
    <t>ПИР  водопровода в с Малый Яломан Онгудайского района  Республики Алтай</t>
  </si>
  <si>
    <t>Полная средняя школа на 260 уч-ся с интернатом на 80 мест в с.Иня Онгудайского района Республики Алтай</t>
  </si>
  <si>
    <t>Кредиторская задолженность по выполненным работам на услуги технического надзора: Детский сад на 150 мест в с Онгудай Онгудайского района Республики Алтай</t>
  </si>
  <si>
    <t>Кредиторская задолженность по выполненным работам: Строительство ЦРБ в с.Онгудай (корпус Г)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</si>
  <si>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</si>
  <si>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Подпрограмма "Развитие инфраструктуры района"</t>
  </si>
  <si>
    <t>Внешнее электроснабжение жилого микрорайона "Южный" в с. Онгудай Онгудайского района (1-я очередь), (2-я очередь)</t>
  </si>
  <si>
    <t>Строительство скважины для водоснабжения села Чуйозы Онгудайского района</t>
  </si>
  <si>
    <t>Всего</t>
  </si>
  <si>
    <t xml:space="preserve">Подпрограмма "Развитие конкурентоспособной экономики" </t>
  </si>
  <si>
    <t>Подпрограмма  "Развитие дошкольного и общего образования" муниципальной программы" «Развитие образования в муниципальном образовании «Онгудайский район»</t>
  </si>
  <si>
    <t>Основное мероприятие Развитие системы содержания и обучения детей в общеобразовательных организациях образования в муниципальном образовании "Онгудайский район"</t>
  </si>
  <si>
    <t>Выплата заработной платы прочему персоналу общеобразовательных организаций  образования в муниципальном образовании "Онгудайский район"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</si>
  <si>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</si>
  <si>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Основное мероприятие Субсидии на софинансирование расходных обязательств, возникающих при реализации мероприятий, направленных на развитие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</si>
  <si>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</si>
  <si>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 "Развитие системы дополнительного образования детей"  муниципальной программы" «Развитие образования в муниципальном образовании «Онгудайский район»</t>
  </si>
  <si>
    <t xml:space="preserve">Развитие дополнительного образования детей в сфере физической культуры и спорта </t>
  </si>
  <si>
    <t xml:space="preserve">Развитие дополнительного образования детей в  центрах детского творчества </t>
  </si>
  <si>
    <t>Основное мероприятие «Организация отдыха, оздоровленияи занятости детей»</t>
  </si>
  <si>
    <t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 муниципальной программы" «Развитие образования в муниципальном образовании «Онгудайский район»</t>
  </si>
  <si>
    <t>Обеспечивающая подпрограмма Централизованное обслуживание Отдела образования Администрации района (аймака) МО «Онгудайский  район»  муниципальной программы" «Развитие образования в муниципальном образовании «Онгудайский район»</t>
  </si>
  <si>
    <t>Обеспечивающая подпрограмма МКУ "Централизованная бухгалтерия" Отдела образования Администрации района (аймака) муниципального образования "Онгудайский район"  муниципальной программы" «Развитие образования в муниципальном образовании «Онгудайский район»</t>
  </si>
  <si>
    <t xml:space="preserve">Расходы на выплаты по оплате труда работников МКУ  "Централизованная бухгалтерия"  </t>
  </si>
  <si>
    <t xml:space="preserve">Обеспечивающая подпрограмма «Создание условий реализации муниципальной программы муниципального образования «Управление муниципальными финансами в муниципальном образовании «Онгудайский район» </t>
  </si>
  <si>
    <t>030А100000</t>
  </si>
  <si>
    <t>Подпрограмма "Повышение эффективности бюджетных расходов в муниципальном образовании «Онгудайский район»</t>
  </si>
  <si>
    <t>Подпрограмма "Повышение эффективности бюджетных расходов в муниципальном образовании «Онгудайский район» муниципальной программы «Управление муниципальными финансами в муниципальном образовании  «Онгудайский район»</t>
  </si>
  <si>
    <t xml:space="preserve">Обслуживание государственного (муниципального) долга </t>
  </si>
  <si>
    <t>Подпрограмма  "Повышение безопасности населения" муниципальной программы«Развитие систем жизнеобеспечения и повышение безопасности населения в муниципальном образовании «Онгудайский район»</t>
  </si>
  <si>
    <t>0410300000</t>
  </si>
  <si>
    <t>0410345500</t>
  </si>
  <si>
    <t xml:space="preserve">Подпрограмма "Развитие культуры" муниципальной программы " Социальное развитие муниципального образования  «Онгудайский район»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</si>
  <si>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</si>
  <si>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Основное мероприятие Обеспечение сбалансированности и устойчивости местного бюджета муниципального образования "Онгудайский район"</t>
  </si>
  <si>
    <t>0310145300</t>
  </si>
  <si>
    <t>0310145400</t>
  </si>
  <si>
    <t>Подпрограмма «Противодействие  коррупции»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</si>
  <si>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 Осуществление мер по противодействию коррупции в границах муниципального района</t>
  </si>
  <si>
    <t>04101S2400</t>
  </si>
  <si>
    <t xml:space="preserve"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
</t>
  </si>
  <si>
    <t>0410810000</t>
  </si>
  <si>
    <t>Подпрограмма "Развитие транспортной инфраструктуры"муниципальной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</si>
  <si>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0430000000</t>
  </si>
  <si>
    <t>0430100000</t>
  </si>
  <si>
    <t>04301200Д0</t>
  </si>
  <si>
    <t xml:space="preserve">Подпрограмма  " Управление муниципальной собственностью"муниципальной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</si>
  <si>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061000000</t>
  </si>
  <si>
    <t>0610100000</t>
  </si>
  <si>
    <t>0610110000</t>
  </si>
  <si>
    <t xml:space="preserve">Подпрограмма  " Градостроительная политика"муниципальной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</si>
  <si>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0620000000</t>
  </si>
  <si>
    <t>0620100000</t>
  </si>
  <si>
    <t>0620110000</t>
  </si>
  <si>
    <t>коррупция</t>
  </si>
  <si>
    <t>0610000000</t>
  </si>
  <si>
    <t>0600000000</t>
  </si>
  <si>
    <t>Подпрограмма  " Развитие жилищно-коммунального комплекса"муниципальной программы «Развитие систем жизнеобеспечения и повышение безопасности населения в муниципальном образовании «Онгудайский район»</t>
  </si>
  <si>
    <t>Реализация мероприятий по устойчивому развитию сельских территорий (капитальные вложения в объекты муиципальной собственности)</t>
  </si>
  <si>
    <t>Подпрограмма " Развитие жилищно-коммунального комплекса"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</si>
  <si>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0420400000</t>
  </si>
  <si>
    <t>Реконструкция систем водоснабжения Онгудайского района Республики Алтай</t>
  </si>
  <si>
    <t>Подготовка к отопительному периоду объектов теплоснабжения</t>
  </si>
  <si>
    <t>0420210000</t>
  </si>
  <si>
    <t>0420410000</t>
  </si>
  <si>
    <t>0420420000</t>
  </si>
  <si>
    <t>Основное мероприятие Реализация мероприятий, направленных на развитие образования</t>
  </si>
  <si>
    <t>Реализация мероприятий по устойчивому развитию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</si>
  <si>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 xml:space="preserve">Подпрограмма "Создание условий для развития инвестиционногои информационного потенциала" муниципальной программы "Развитие экономического потенциала и предпринимательства  МО  "Онгудайский район" </t>
  </si>
  <si>
    <t>Развитие дополнительного образования детей в области искусства</t>
  </si>
  <si>
    <t xml:space="preserve">Подпрограмма "Развитие спорта и молодежной политики" муниципальной программы " Социальное развитие муниципального образования  «Онгудайский район» </t>
  </si>
  <si>
    <t xml:space="preserve">Основное мероприятие Реализация молодежной политики </t>
  </si>
  <si>
    <t>0440000000</t>
  </si>
  <si>
    <t>Муниципальная программа «Развитие образования в муниципальном образовании «Онгудайский район»</t>
  </si>
  <si>
    <t xml:space="preserve">Муниципальная программа «Управление муниципальной собственностью и градостроительной деятельностью в муниципальном образовании «Онгудайский район» </t>
  </si>
  <si>
    <t>040К2</t>
  </si>
  <si>
    <t>040К1</t>
  </si>
  <si>
    <t>0710100000</t>
  </si>
  <si>
    <t>0710000000</t>
  </si>
  <si>
    <t>0710110000</t>
  </si>
  <si>
    <t>0710110001</t>
  </si>
  <si>
    <t>0710120000</t>
  </si>
  <si>
    <t>07101S4400</t>
  </si>
  <si>
    <t>0710144300</t>
  </si>
  <si>
    <t>07101S4500</t>
  </si>
  <si>
    <t>0710200000</t>
  </si>
  <si>
    <t>0710210000</t>
  </si>
  <si>
    <t>0720000000</t>
  </si>
  <si>
    <t>0720100000</t>
  </si>
  <si>
    <t>0720110000</t>
  </si>
  <si>
    <t>0720200000</t>
  </si>
  <si>
    <t>0720247698</t>
  </si>
  <si>
    <t>070А100000</t>
  </si>
  <si>
    <t>070А174100</t>
  </si>
  <si>
    <t>070А174110</t>
  </si>
  <si>
    <t>070Ц100000</t>
  </si>
  <si>
    <t>070Ц174100</t>
  </si>
  <si>
    <t>070Ц174110</t>
  </si>
  <si>
    <t>070Ц174190</t>
  </si>
  <si>
    <t>070Ц200000</t>
  </si>
  <si>
    <t>070Ц274100</t>
  </si>
  <si>
    <t>070Ц274110</t>
  </si>
  <si>
    <t>070Ц274190</t>
  </si>
  <si>
    <t>070Ц244300</t>
  </si>
  <si>
    <t>0710143895</t>
  </si>
  <si>
    <t>0720130000</t>
  </si>
  <si>
    <t>070А174000</t>
  </si>
  <si>
    <t>070Ц174000</t>
  </si>
  <si>
    <t>070Ц274000</t>
  </si>
  <si>
    <t>0700000000</t>
  </si>
  <si>
    <t>0240000000</t>
  </si>
  <si>
    <t>0240100000</t>
  </si>
  <si>
    <t>0240110000</t>
  </si>
  <si>
    <t>0240200000</t>
  </si>
  <si>
    <t>0240210000</t>
  </si>
  <si>
    <t>0220151760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</si>
  <si>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24 ноября 1995 года № 181-ФЗ «О социальной защите инвалидов в Российской Федерации» </t>
  </si>
  <si>
    <t xml:space="preserve">Основное мероприятие Обеспечение доступности объектами культуры и спорта </t>
  </si>
  <si>
    <t>0210300000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</si>
  <si>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</si>
  <si>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</si>
  <si>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</si>
  <si>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</si>
  <si>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</si>
  <si>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</si>
  <si>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</si>
  <si>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</si>
  <si>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</si>
  <si>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</si>
  <si>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</si>
  <si>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</si>
  <si>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</si>
  <si>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А</t>
  </si>
  <si>
    <t>Б</t>
  </si>
  <si>
    <t>1</t>
  </si>
  <si>
    <t>Всего субвенций местным бюджетам</t>
  </si>
  <si>
    <t>1.1.</t>
  </si>
  <si>
    <t>Государственные полномочия Российской Федерации</t>
  </si>
  <si>
    <t>1.1.2.</t>
  </si>
  <si>
    <t>Осуществление первичного воинского учета на территориях, где отсутствуют военные комиссариаты</t>
  </si>
  <si>
    <t>2.</t>
  </si>
  <si>
    <t>2.1.</t>
  </si>
  <si>
    <t>Дотация на выравнивание уровня бюджетной обеспеченности</t>
  </si>
  <si>
    <t>2.1.1</t>
  </si>
  <si>
    <t>Дотация на выравнивание уровня бюджетной обеспеченности  из районного фонда  финансовой поддержки  поселений</t>
  </si>
  <si>
    <t>2.1.2.</t>
  </si>
  <si>
    <t>Дотация на выравнивание бюджетной обеспеченности бюджетам поселений за счет средств республиканского бюджета Республики Алтай</t>
  </si>
  <si>
    <t>2.2.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</si>
  <si>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</si>
  <si>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2.3.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</si>
  <si>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</si>
  <si>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2.3.1.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</si>
  <si>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</t>
  </si>
  <si>
    <t>2.3.2.</t>
  </si>
  <si>
    <t>2.3.3.</t>
  </si>
  <si>
    <t>2.3.4.</t>
  </si>
  <si>
    <t>Создание условий для организации досуга и обеспечения жителей  поселения услугами организаций культуры</t>
  </si>
  <si>
    <t>2.4.</t>
  </si>
  <si>
    <t xml:space="preserve">Иные межбюджетные трансферты на стимулироваие  </t>
  </si>
  <si>
    <t xml:space="preserve">ВСЕГО  </t>
  </si>
  <si>
    <t>Распределение межбюджетных трансфертов бюджетам сельских поселений муниципального образования "Онгудайский район" на 2019 год</t>
  </si>
  <si>
    <t>0310151200</t>
  </si>
  <si>
    <t>Обеспечивающая подпрограмма Обеспечение деятельности Управления по экономике и финансам  администрации МО "Онгудайский район"муниципальной программы "Управление муниципальными финансами  муниципального образования «Онгудайский район»</t>
  </si>
  <si>
    <t>0440100000</t>
  </si>
  <si>
    <t>0440110000</t>
  </si>
  <si>
    <t>04202S1300</t>
  </si>
  <si>
    <t>0720120000</t>
  </si>
  <si>
    <t>020А210100</t>
  </si>
  <si>
    <t>020А210110</t>
  </si>
  <si>
    <t>изменения +,-</t>
  </si>
  <si>
    <t>№ п/п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</si>
  <si>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</si>
  <si>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</si>
  <si>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</si>
  <si>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</si>
  <si>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Работы по обеспечению имущества и земельных участков, занятых автомобильными дорогами общего пользования местного значения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</si>
  <si>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</si>
  <si>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Формирование резерва муниципального дорожного фонда для финансирования мероприятий по ликвидации последствий обстоятельств непреодолимой силы на автомобильных дорогах местного значения </t>
  </si>
  <si>
    <t xml:space="preserve">Сумма на 2019год </t>
  </si>
  <si>
    <t>03 старая программа с имущ</t>
  </si>
  <si>
    <t>0300000000 нов пр</t>
  </si>
  <si>
    <t>Муниципальная программа "Управление муниципальными финансами   муниципального образования "Онгудайский район"</t>
  </si>
  <si>
    <t>07201S8500</t>
  </si>
  <si>
    <t>02101S8500</t>
  </si>
  <si>
    <t>Субсидии  на оплату труда работникам бюджетной сферы</t>
  </si>
  <si>
    <t>Cубсидии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</si>
  <si>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02101L4670</t>
  </si>
  <si>
    <t>Cубсидии на поддержку культуры</t>
  </si>
  <si>
    <t>Поддержка творческой деятельности и техническое оснащение детских и кукольных театров (субсидии)</t>
  </si>
  <si>
    <t>02101L5172</t>
  </si>
  <si>
    <t>07101S8500</t>
  </si>
  <si>
    <t>071021L0972</t>
  </si>
  <si>
    <t>070Ц2S8500</t>
  </si>
  <si>
    <t>070А1S8500</t>
  </si>
  <si>
    <t>070Ц1S8500</t>
  </si>
  <si>
    <t>040К1S8500</t>
  </si>
  <si>
    <t>010А1S8500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</si>
  <si>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</si>
  <si>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07102L5191</t>
  </si>
  <si>
    <t>01102L5672</t>
  </si>
  <si>
    <t>Реализация мероприятий по обеспечению жильем молодых семей (субсидии)</t>
  </si>
  <si>
    <t>02401L4970</t>
  </si>
  <si>
    <t>Комплексные мероприятия, направленные на создание и модернизацию учреждений культурно-досугового типа в сельской местности</t>
  </si>
  <si>
    <t>02103L5191</t>
  </si>
  <si>
    <t>04206S8900</t>
  </si>
  <si>
    <t>Мероприятия по созданию и оборудованию мест (площадок) накопления (в том числе раздельного накопления) твердых коммунальных отходов</t>
  </si>
  <si>
    <t>01102L567П</t>
  </si>
  <si>
    <t>0430130000</t>
  </si>
  <si>
    <t>"Дорожный фонд муниципального образования "Онгудайский район"</t>
  </si>
  <si>
    <t>Основное мероприятие Развитие транспортной инфраструктуры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</si>
  <si>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</si>
  <si>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04102S2330</t>
  </si>
  <si>
    <t>Обеспечение пожарной безопасности</t>
  </si>
  <si>
    <t>Субсидии на софинансирование расходных обязательств, связанных с участием муниципальных образований в развитии и укреплении материально-технической базы Корпуса сил добровольной пожарно-спасательной службы</t>
  </si>
  <si>
    <t>04108S2340</t>
  </si>
  <si>
    <t>03101S8500</t>
  </si>
  <si>
    <t>030А1S8500</t>
  </si>
  <si>
    <t>0420000000 стар ред</t>
  </si>
  <si>
    <t>0420000000 нов ред</t>
  </si>
  <si>
    <t>0210000000стар</t>
  </si>
  <si>
    <t xml:space="preserve">0210000000 нов </t>
  </si>
  <si>
    <t>0220000000 изм нет</t>
  </si>
  <si>
    <t>Распределение бюджетных ассигнований Дорожного фонда муниципального образования "Онгудайский район"  на 2019 год</t>
  </si>
  <si>
    <t xml:space="preserve"> Иные межбюджетные  трансферты на оплату  труда с начислениями  на неё работников бюджетной сферы (не ниже МРОТ)</t>
  </si>
  <si>
    <t xml:space="preserve"> Иные межбюджетные  трансферты на оплату труда с начислениями  на неё работников бюджетной сферы (работники учреждений культуры на  исполнение УказовПрезидента РФ не ниже уровня 2018г)</t>
  </si>
  <si>
    <t xml:space="preserve">Подпрограмма " Развитие жилищно-коммунального комплекса" </t>
  </si>
  <si>
    <t xml:space="preserve">Реконструкция систем водоснабжения с.Онгудай, Онгудайского района </t>
  </si>
  <si>
    <t xml:space="preserve">Реконструкция водопровода в с. Малый Яломан Онгудайского района Республики Алтай </t>
  </si>
  <si>
    <t>Распределение бюджетных ассигнований  на осуществление бюджетных инвестиций в объекты капитального строительства  муниципальной собственности (в том числе их реконструкция), а , также, софинансирование в которые  за счет межбюджетных субсидий из республиканского  бюджета Республики Алтай  (за исключением строительства и  реконструкции  автомобильных дорог общего пользования местного  значения  и искусственных сооружений на них за счет Дорожного фонда  муниципального образования "Онгудайский район" ) на 2019 год</t>
  </si>
  <si>
    <t>Муниципальная программа  «Развитие образования в муниципальном образовании «Онгудайский район»</t>
  </si>
  <si>
    <t>Подпрограмма  "Развитие дошкольного и общего образования"</t>
  </si>
  <si>
    <t>Строительство детского сада на 125 мест в с. Онгудай Онгудайского района Республики Алтай</t>
  </si>
  <si>
    <t>Приложение 10</t>
  </si>
  <si>
    <t xml:space="preserve"> Распределение бюджетных ассигнований на реализацию муниципальных программ  и непрограммных расходов  муниципального образования"Онгудайский район" на 2019 год</t>
  </si>
  <si>
    <t>Приложение 14</t>
  </si>
  <si>
    <t xml:space="preserve"> Приложение 12</t>
  </si>
  <si>
    <t>бюджетных ассигнований по разделам, подразделам   классификации расходов  бюджета муниципального образования  "Онгудайский район" на   2019год</t>
  </si>
  <si>
    <t>Приложение 16</t>
  </si>
  <si>
    <t>Уточненный план 2019</t>
  </si>
  <si>
    <t>2.2.1.</t>
  </si>
  <si>
    <t>2.2.2.</t>
  </si>
  <si>
    <t>Проектирование, строительство (реконструкция) и капитальный ремонт автомобильных дорог общего пользования местного значения и искусственных сооружений на них</t>
  </si>
  <si>
    <t>Осуществление иных мероприятий, направленных на улучшение технических характеристик автомобильных дорог местного значения и искусственных сооружений на них</t>
  </si>
  <si>
    <t>Проведение работ в рамках  основного мероприятия "Развитие транспортной инфраструктуры"</t>
  </si>
  <si>
    <t>Капитальные вложения  на реконструкцию и строительство образовательных учреждений  расположенных  в сельской местности</t>
  </si>
  <si>
    <t>Распределение бюжетных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муниципального образования "Онгудайский район" на  2019год</t>
  </si>
  <si>
    <t>02106L5192</t>
  </si>
  <si>
    <t>060К200000</t>
  </si>
  <si>
    <t>060К200100</t>
  </si>
  <si>
    <t>060К200110</t>
  </si>
  <si>
    <t>060К200190</t>
  </si>
  <si>
    <t>060К2S8500</t>
  </si>
  <si>
    <t>Мероприятия по обустройству контейнерных площадок</t>
  </si>
  <si>
    <t>0420620000</t>
  </si>
  <si>
    <t>06К2</t>
  </si>
  <si>
    <t xml:space="preserve">Содержание и ремонт автомобильных дорог общего пользования местного значения и искусственных сооружений на них, в том числе </t>
  </si>
  <si>
    <t>предоставление межбюдженых трансфертов бюджетам сельских поселений по заключенным соглашениям о передаче полномочий</t>
  </si>
  <si>
    <t>2.2.3.</t>
  </si>
  <si>
    <t>Иные межбюджетные трансферты на решение  вопросов местного значения</t>
  </si>
  <si>
    <t xml:space="preserve">Уточненный план </t>
  </si>
  <si>
    <t xml:space="preserve">Утвержденный план </t>
  </si>
  <si>
    <t xml:space="preserve">Уточненныей план </t>
  </si>
  <si>
    <t>Утвержденный  план</t>
  </si>
  <si>
    <t>Капитальные вложения в объекты муниципальной собственности в части создания в Республике Алтай новых мест в общеобразовательных организациях</t>
  </si>
  <si>
    <t>07102S48П0</t>
  </si>
  <si>
    <t>071E250972</t>
  </si>
  <si>
    <t xml:space="preserve">Внесение взноса в уставный капитал </t>
  </si>
  <si>
    <t>0610110001</t>
  </si>
  <si>
    <t>071P25232П</t>
  </si>
  <si>
    <t>02106L5193</t>
  </si>
  <si>
    <t>02106L5194</t>
  </si>
  <si>
    <t>021А155192</t>
  </si>
  <si>
    <t>Создание передвижных многофункциональных культурных центров</t>
  </si>
  <si>
    <t>020А2S8500</t>
  </si>
  <si>
    <t>020А200000</t>
  </si>
  <si>
    <t>Обеспечивающая подпрогрмма "Обеспечение деятельности Отдела культуры, спорта и молодежной политики администрации района (аймака) и подведомственных ему учреждений"</t>
  </si>
  <si>
    <t>020К100000</t>
  </si>
  <si>
    <t>020К110110</t>
  </si>
  <si>
    <t>Основное мероприятие: Материально-техническое обеспечениеМКУ Отдела культуры МО "Онгудайский район"</t>
  </si>
  <si>
    <t>020К110100</t>
  </si>
  <si>
    <t>Расходы на обеспечение функций КУ Отдела культуры</t>
  </si>
  <si>
    <t>020К110190</t>
  </si>
  <si>
    <t>Расходы на выплаты по оплате труда  КУ Отдела культуры</t>
  </si>
  <si>
    <t>020К1S8500</t>
  </si>
  <si>
    <t>020К1100000 мку</t>
  </si>
  <si>
    <t>Организация  деятельности по сбору ( втом числе раздельному сбору) транспортированию, обработке, утилизации, обезвреживанию, захоронению твердых коммунальных отходов  в части организации буртования твердых коммунальных отходов на полигоне</t>
  </si>
  <si>
    <t>Прочие межбюджетные трансферты по заключенным соглашениям о передаче полномочий по водоснабжению  в части разработки  проекта зоны санитарной охраны на скважину,</t>
  </si>
  <si>
    <t>021A155191</t>
  </si>
  <si>
    <t>071P200000</t>
  </si>
  <si>
    <t>Основное мероприятие «Реализация регионального проекта «Содействие занятости женщин-создание условий дошкольного образования для детей в возрасте до трех лет»</t>
  </si>
  <si>
    <t>Создание условий дошкольного образования для детей в возрасте до трех лет»</t>
  </si>
  <si>
    <t>071P210000</t>
  </si>
  <si>
    <t>Основное мероприятие «Реализация регионального проекта «Культурная среда»</t>
  </si>
  <si>
    <t>021A100000</t>
  </si>
  <si>
    <t>Комплектование  книжных фондов мун.общедоступных библиотек</t>
  </si>
  <si>
    <t>Подключение мун.общедоступных библиотек к информационно-телекоммнуникационной сети "Интернет"</t>
  </si>
  <si>
    <t>Основное мероприятие «Реализация регионального проекта «Успех каждого ребенка»</t>
  </si>
  <si>
    <t>071E200000</t>
  </si>
  <si>
    <t>020К100000 мку культ</t>
  </si>
  <si>
    <t>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 26.02.2019г № 5-1, от 23.05.2019г №7-2)</t>
  </si>
  <si>
    <t>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от26 .02.2019г №5-1, от 23.05.2019г №7-2)</t>
  </si>
  <si>
    <t>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от26.02.2019г №5-1, от 23.05.2019г  №7-2)</t>
  </si>
  <si>
    <t>Приложение 18
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от26.02.2019г №5-1, от 23.05.2019г № 7-2)</t>
  </si>
  <si>
    <t xml:space="preserve">Приложение 20
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 26.02.2019г №5-1, от 23.05.2019 № 7-2)
</t>
  </si>
  <si>
    <t>Приложение 22
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 26.02.2019г № 5-1, от 23.05.2019г № 7-2)</t>
  </si>
  <si>
    <t>0610110002</t>
  </si>
  <si>
    <t>Возмещение части затрат, связанных с регистрацией и началом деятельности муниципальных унитарных предприятий</t>
  </si>
  <si>
    <t>Ведомственная структура  расходов бюджета муниципального образования "Онгудайский район"                                                на 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</si>
</sst>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0.00000"/>
    <numFmt numFmtId="165" formatCode="0.000"/>
    <numFmt numFmtId="166" formatCode="#,##0.00_ ;\-#,##0.00\ "/>
    <numFmt numFmtId="167" formatCode="0.0"/>
    <numFmt numFmtId="168" formatCode="_-* #,##0.0_р_._-;\-* #,##0.0_р_._-;_-* &quot;-&quot;??_р_._-;_-@_-"/>
    <numFmt numFmtId="169" formatCode="#,##0.0"/>
    <numFmt numFmtId="170" formatCode="_-* #,##0_р_._-;\-* #,##0_р_._-;_-* &quot;-&quot;?_р_._-;_-@_-"/>
    <numFmt numFmtId="171" formatCode="#,##0.00_р_.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 Cyr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51">
    <xf numFmtId="0" fontId="0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43" fontId="13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5" fillId="0" borderId="0"/>
    <xf numFmtId="0" fontId="19" fillId="0" borderId="0"/>
    <xf numFmtId="0" fontId="7" fillId="0" borderId="0" applyNumberFormat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0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9" fillId="0" borderId="0"/>
    <xf numFmtId="43" fontId="6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1" fillId="0" borderId="0"/>
  </cellStyleXfs>
  <cellXfs count="372">
    <xf numFmtId="0" fontId="0" fillId="0" borderId="0" xfId="0"/>
    <xf numFmtId="0" fontId="8" fillId="0" borderId="1" xfId="1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left"/>
    </xf>
    <xf numFmtId="0" fontId="11" fillId="0" borderId="1" xfId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left"/>
    </xf>
    <xf numFmtId="0" fontId="8" fillId="0" borderId="1" xfId="5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left" wrapText="1"/>
    </xf>
    <xf numFmtId="164" fontId="8" fillId="0" borderId="1" xfId="5" applyNumberFormat="1" applyFont="1" applyFill="1" applyBorder="1" applyAlignment="1">
      <alignment horizontal="right" wrapText="1"/>
    </xf>
    <xf numFmtId="0" fontId="10" fillId="0" borderId="1" xfId="3" applyFont="1" applyFill="1" applyBorder="1" applyAlignment="1">
      <alignment horizontal="center" vertical="center" wrapText="1"/>
    </xf>
    <xf numFmtId="0" fontId="0" fillId="0" borderId="0" xfId="0" applyBorder="1" applyAlignment="1"/>
    <xf numFmtId="0" fontId="8" fillId="0" borderId="0" xfId="5" applyFont="1"/>
    <xf numFmtId="0" fontId="9" fillId="0" borderId="0" xfId="0" applyFont="1"/>
    <xf numFmtId="0" fontId="9" fillId="0" borderId="0" xfId="0" applyFont="1" applyBorder="1" applyAlignment="1"/>
    <xf numFmtId="0" fontId="21" fillId="0" borderId="0" xfId="0" applyFont="1"/>
    <xf numFmtId="2" fontId="10" fillId="0" borderId="1" xfId="5" applyNumberFormat="1" applyFont="1" applyFill="1" applyBorder="1" applyAlignment="1">
      <alignment horizontal="center"/>
    </xf>
    <xf numFmtId="49" fontId="10" fillId="0" borderId="1" xfId="5" applyNumberFormat="1" applyFont="1" applyFill="1" applyBorder="1" applyAlignment="1">
      <alignment horizontal="center"/>
    </xf>
    <xf numFmtId="0" fontId="10" fillId="0" borderId="1" xfId="5" applyFont="1" applyBorder="1" applyAlignment="1">
      <alignment wrapText="1"/>
    </xf>
    <xf numFmtId="2" fontId="8" fillId="0" borderId="1" xfId="5" applyNumberFormat="1" applyFont="1" applyFill="1" applyBorder="1" applyAlignment="1">
      <alignment horizontal="center"/>
    </xf>
    <xf numFmtId="49" fontId="8" fillId="0" borderId="1" xfId="5" applyNumberFormat="1" applyFont="1" applyFill="1" applyBorder="1" applyAlignment="1">
      <alignment horizontal="center"/>
    </xf>
    <xf numFmtId="49" fontId="8" fillId="0" borderId="2" xfId="5" applyNumberFormat="1" applyFont="1" applyFill="1" applyBorder="1" applyAlignment="1">
      <alignment horizontal="center"/>
    </xf>
    <xf numFmtId="0" fontId="8" fillId="0" borderId="1" xfId="5" applyFont="1" applyBorder="1" applyAlignment="1">
      <alignment wrapText="1"/>
    </xf>
    <xf numFmtId="49" fontId="8" fillId="0" borderId="5" xfId="5" applyNumberFormat="1" applyFont="1" applyFill="1" applyBorder="1" applyAlignment="1">
      <alignment horizontal="center"/>
    </xf>
    <xf numFmtId="0" fontId="8" fillId="0" borderId="1" xfId="9" applyFont="1" applyFill="1" applyBorder="1" applyAlignment="1">
      <alignment horizontal="justify" vertical="top" wrapText="1" shrinkToFit="1"/>
    </xf>
    <xf numFmtId="0" fontId="10" fillId="0" borderId="1" xfId="5" applyFont="1" applyBorder="1" applyAlignment="1">
      <alignment horizontal="center" vertical="center" wrapText="1"/>
    </xf>
    <xf numFmtId="0" fontId="8" fillId="0" borderId="0" xfId="18" applyFont="1" applyAlignment="1">
      <alignment wrapText="1"/>
    </xf>
    <xf numFmtId="0" fontId="8" fillId="0" borderId="0" xfId="5" applyFont="1" applyBorder="1"/>
    <xf numFmtId="0" fontId="8" fillId="0" borderId="0" xfId="1" applyFont="1" applyFill="1"/>
    <xf numFmtId="0" fontId="11" fillId="0" borderId="0" xfId="1" applyFont="1" applyFill="1"/>
    <xf numFmtId="165" fontId="8" fillId="0" borderId="0" xfId="1" applyNumberFormat="1" applyFont="1" applyFill="1" applyBorder="1"/>
    <xf numFmtId="2" fontId="8" fillId="0" borderId="0" xfId="1" applyNumberFormat="1" applyFont="1" applyFill="1" applyAlignment="1"/>
    <xf numFmtId="2" fontId="8" fillId="0" borderId="0" xfId="1" applyNumberFormat="1" applyFont="1" applyFill="1" applyBorder="1"/>
    <xf numFmtId="1" fontId="8" fillId="0" borderId="0" xfId="1" applyNumberFormat="1" applyFont="1" applyFill="1" applyBorder="1"/>
    <xf numFmtId="0" fontId="8" fillId="0" borderId="0" xfId="1" applyFont="1" applyFill="1" applyBorder="1"/>
    <xf numFmtId="0" fontId="23" fillId="0" borderId="1" xfId="1" applyFont="1" applyFill="1" applyBorder="1" applyAlignment="1">
      <alignment horizontal="left"/>
    </xf>
    <xf numFmtId="0" fontId="10" fillId="0" borderId="0" xfId="1" applyFont="1" applyFill="1"/>
    <xf numFmtId="0" fontId="15" fillId="0" borderId="0" xfId="1" applyFont="1" applyFill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/>
    </xf>
    <xf numFmtId="165" fontId="8" fillId="0" borderId="0" xfId="1" applyNumberFormat="1" applyFont="1" applyFill="1" applyAlignment="1">
      <alignment wrapText="1"/>
    </xf>
    <xf numFmtId="0" fontId="14" fillId="2" borderId="0" xfId="0" applyFont="1" applyFill="1" applyAlignment="1">
      <alignment horizontal="justify" vertical="center" wrapText="1"/>
    </xf>
    <xf numFmtId="166" fontId="26" fillId="0" borderId="1" xfId="1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165" fontId="8" fillId="0" borderId="0" xfId="1" applyNumberFormat="1" applyFont="1" applyFill="1" applyAlignment="1">
      <alignment horizontal="left" vertical="top"/>
    </xf>
    <xf numFmtId="0" fontId="11" fillId="0" borderId="0" xfId="1" applyFont="1" applyFill="1" applyAlignment="1">
      <alignment horizontal="left"/>
    </xf>
    <xf numFmtId="164" fontId="8" fillId="0" borderId="0" xfId="18" applyNumberFormat="1" applyFont="1" applyFill="1" applyAlignment="1">
      <alignment horizontal="left"/>
    </xf>
    <xf numFmtId="0" fontId="23" fillId="0" borderId="1" xfId="1" applyFont="1" applyFill="1" applyBorder="1" applyAlignment="1">
      <alignment horizontal="left" wrapText="1"/>
    </xf>
    <xf numFmtId="0" fontId="10" fillId="0" borderId="1" xfId="3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wrapText="1"/>
    </xf>
    <xf numFmtId="2" fontId="8" fillId="0" borderId="0" xfId="0" applyNumberFormat="1" applyFont="1" applyFill="1" applyAlignment="1">
      <alignment horizontal="right" vertical="center"/>
    </xf>
    <xf numFmtId="2" fontId="10" fillId="0" borderId="1" xfId="1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/>
    </xf>
    <xf numFmtId="2" fontId="8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vertical="top"/>
    </xf>
    <xf numFmtId="49" fontId="10" fillId="0" borderId="2" xfId="5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right"/>
    </xf>
    <xf numFmtId="164" fontId="8" fillId="0" borderId="1" xfId="2" applyNumberFormat="1" applyFont="1" applyFill="1" applyBorder="1" applyAlignment="1">
      <alignment horizontal="right" wrapText="1"/>
    </xf>
    <xf numFmtId="0" fontId="23" fillId="0" borderId="0" xfId="1" applyFont="1" applyFill="1"/>
    <xf numFmtId="49" fontId="8" fillId="0" borderId="1" xfId="1" applyNumberFormat="1" applyFont="1" applyFill="1" applyBorder="1"/>
    <xf numFmtId="0" fontId="8" fillId="0" borderId="1" xfId="1" applyFont="1" applyFill="1" applyBorder="1"/>
    <xf numFmtId="49" fontId="10" fillId="0" borderId="1" xfId="1" applyNumberFormat="1" applyFont="1" applyFill="1" applyBorder="1"/>
    <xf numFmtId="0" fontId="10" fillId="0" borderId="1" xfId="1" applyFont="1" applyFill="1" applyBorder="1"/>
    <xf numFmtId="2" fontId="31" fillId="0" borderId="1" xfId="2" applyNumberFormat="1" applyFont="1" applyFill="1" applyBorder="1" applyAlignment="1">
      <alignment horizontal="right" wrapText="1"/>
    </xf>
    <xf numFmtId="2" fontId="9" fillId="0" borderId="1" xfId="0" applyNumberFormat="1" applyFont="1" applyBorder="1"/>
    <xf numFmtId="0" fontId="11" fillId="0" borderId="1" xfId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right" wrapText="1"/>
    </xf>
    <xf numFmtId="0" fontId="22" fillId="0" borderId="0" xfId="5" applyFont="1" applyBorder="1" applyAlignment="1">
      <alignment horizontal="center" wrapText="1"/>
    </xf>
    <xf numFmtId="0" fontId="7" fillId="0" borderId="0" xfId="18" applyFont="1" applyAlignment="1">
      <alignment wrapText="1"/>
    </xf>
    <xf numFmtId="0" fontId="23" fillId="0" borderId="1" xfId="1" applyFont="1" applyFill="1" applyBorder="1" applyAlignment="1">
      <alignment horizontal="left" vertical="top" wrapText="1"/>
    </xf>
    <xf numFmtId="166" fontId="29" fillId="0" borderId="1" xfId="10" applyNumberFormat="1" applyFont="1" applyFill="1" applyBorder="1" applyAlignment="1">
      <alignment horizontal="center" vertical="center" wrapText="1"/>
    </xf>
    <xf numFmtId="166" fontId="14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right" wrapText="1"/>
    </xf>
    <xf numFmtId="0" fontId="28" fillId="0" borderId="0" xfId="0" applyFont="1"/>
    <xf numFmtId="167" fontId="12" fillId="0" borderId="0" xfId="0" applyNumberFormat="1" applyFont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/>
    </xf>
    <xf numFmtId="0" fontId="35" fillId="0" borderId="3" xfId="144" applyFont="1" applyFill="1" applyBorder="1" applyAlignment="1">
      <alignment horizontal="left" vertical="center" wrapText="1"/>
    </xf>
    <xf numFmtId="0" fontId="36" fillId="0" borderId="1" xfId="145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 wrapText="1"/>
    </xf>
    <xf numFmtId="2" fontId="3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right" wrapText="1"/>
    </xf>
    <xf numFmtId="0" fontId="35" fillId="0" borderId="3" xfId="143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wrapText="1"/>
    </xf>
    <xf numFmtId="164" fontId="10" fillId="0" borderId="0" xfId="1" applyNumberFormat="1" applyFont="1" applyFill="1"/>
    <xf numFmtId="164" fontId="8" fillId="0" borderId="0" xfId="1" applyNumberFormat="1" applyFont="1" applyFill="1"/>
    <xf numFmtId="164" fontId="8" fillId="0" borderId="0" xfId="1" applyNumberFormat="1" applyFont="1" applyFill="1" applyAlignment="1">
      <alignment vertical="top"/>
    </xf>
    <xf numFmtId="164" fontId="8" fillId="0" borderId="0" xfId="1" applyNumberFormat="1" applyFont="1" applyFill="1" applyAlignment="1"/>
    <xf numFmtId="164" fontId="8" fillId="0" borderId="0" xfId="1" applyNumberFormat="1" applyFont="1" applyFill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49" fontId="29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8" fillId="0" borderId="0" xfId="147" applyFill="1" applyBorder="1"/>
    <xf numFmtId="49" fontId="15" fillId="0" borderId="0" xfId="147" applyNumberFormat="1" applyFont="1" applyFill="1" applyBorder="1" applyAlignment="1">
      <alignment horizontal="center" vertical="center"/>
    </xf>
    <xf numFmtId="0" fontId="15" fillId="0" borderId="0" xfId="147" applyFont="1" applyFill="1" applyBorder="1"/>
    <xf numFmtId="165" fontId="15" fillId="0" borderId="0" xfId="147" applyNumberFormat="1" applyFont="1" applyFill="1" applyBorder="1"/>
    <xf numFmtId="0" fontId="8" fillId="0" borderId="0" xfId="147" applyFont="1" applyFill="1" applyBorder="1" applyAlignment="1"/>
    <xf numFmtId="0" fontId="37" fillId="0" borderId="0" xfId="147" applyFont="1" applyFill="1" applyBorder="1"/>
    <xf numFmtId="0" fontId="8" fillId="0" borderId="0" xfId="147" applyFont="1" applyFill="1" applyBorder="1" applyAlignment="1">
      <alignment wrapText="1"/>
    </xf>
    <xf numFmtId="49" fontId="38" fillId="0" borderId="0" xfId="147" applyNumberFormat="1" applyFont="1" applyFill="1" applyBorder="1" applyAlignment="1">
      <alignment horizontal="left" vertical="center"/>
    </xf>
    <xf numFmtId="0" fontId="15" fillId="0" borderId="0" xfId="147" applyFont="1" applyFill="1" applyBorder="1" applyAlignment="1">
      <alignment horizontal="center"/>
    </xf>
    <xf numFmtId="165" fontId="15" fillId="0" borderId="0" xfId="147" applyNumberFormat="1" applyFont="1" applyFill="1" applyBorder="1" applyAlignment="1">
      <alignment horizontal="center"/>
    </xf>
    <xf numFmtId="1" fontId="15" fillId="0" borderId="0" xfId="147" applyNumberFormat="1" applyFont="1" applyFill="1" applyBorder="1" applyAlignment="1">
      <alignment horizontal="center"/>
    </xf>
    <xf numFmtId="1" fontId="12" fillId="0" borderId="0" xfId="147" applyNumberFormat="1" applyFont="1" applyFill="1" applyBorder="1" applyAlignment="1">
      <alignment horizontal="center"/>
    </xf>
    <xf numFmtId="1" fontId="37" fillId="0" borderId="0" xfId="147" applyNumberFormat="1" applyFont="1" applyFill="1" applyBorder="1"/>
    <xf numFmtId="0" fontId="14" fillId="0" borderId="15" xfId="147" applyFont="1" applyFill="1" applyBorder="1"/>
    <xf numFmtId="0" fontId="14" fillId="0" borderId="16" xfId="147" applyFont="1" applyFill="1" applyBorder="1"/>
    <xf numFmtId="49" fontId="14" fillId="0" borderId="1" xfId="147" applyNumberFormat="1" applyFont="1" applyFill="1" applyBorder="1" applyAlignment="1">
      <alignment horizontal="center" vertical="center" wrapText="1"/>
    </xf>
    <xf numFmtId="0" fontId="14" fillId="0" borderId="21" xfId="147" applyFont="1" applyFill="1" applyBorder="1"/>
    <xf numFmtId="0" fontId="14" fillId="0" borderId="22" xfId="147" applyFont="1" applyFill="1" applyBorder="1"/>
    <xf numFmtId="0" fontId="14" fillId="0" borderId="0" xfId="147" applyFont="1" applyFill="1" applyBorder="1"/>
    <xf numFmtId="0" fontId="14" fillId="0" borderId="23" xfId="147" applyFont="1" applyFill="1" applyBorder="1"/>
    <xf numFmtId="0" fontId="12" fillId="0" borderId="24" xfId="147" applyFont="1" applyFill="1" applyBorder="1"/>
    <xf numFmtId="0" fontId="12" fillId="0" borderId="25" xfId="147" applyFont="1" applyFill="1" applyBorder="1"/>
    <xf numFmtId="49" fontId="12" fillId="0" borderId="1" xfId="147" applyNumberFormat="1" applyFont="1" applyFill="1" applyBorder="1" applyAlignment="1">
      <alignment horizontal="center" vertical="center"/>
    </xf>
    <xf numFmtId="0" fontId="24" fillId="0" borderId="7" xfId="148" applyFont="1" applyBorder="1" applyAlignment="1">
      <alignment horizontal="center" vertical="center" wrapText="1"/>
    </xf>
    <xf numFmtId="0" fontId="24" fillId="0" borderId="27" xfId="148" applyFont="1" applyBorder="1" applyAlignment="1">
      <alignment horizontal="center" vertical="center" wrapText="1"/>
    </xf>
    <xf numFmtId="0" fontId="24" fillId="0" borderId="10" xfId="148" applyFont="1" applyBorder="1" applyAlignment="1">
      <alignment horizontal="center" vertical="center" wrapText="1"/>
    </xf>
    <xf numFmtId="0" fontId="24" fillId="0" borderId="1" xfId="148" applyFont="1" applyBorder="1" applyAlignment="1">
      <alignment horizontal="center" vertical="center" wrapText="1"/>
    </xf>
    <xf numFmtId="0" fontId="24" fillId="0" borderId="28" xfId="148" applyFont="1" applyBorder="1" applyAlignment="1">
      <alignment horizontal="center" vertical="center" wrapText="1"/>
    </xf>
    <xf numFmtId="0" fontId="12" fillId="0" borderId="21" xfId="147" applyFont="1" applyFill="1" applyBorder="1"/>
    <xf numFmtId="0" fontId="12" fillId="0" borderId="29" xfId="147" applyFont="1" applyFill="1" applyBorder="1"/>
    <xf numFmtId="0" fontId="12" fillId="0" borderId="0" xfId="147" applyFont="1" applyFill="1" applyBorder="1"/>
    <xf numFmtId="0" fontId="12" fillId="0" borderId="30" xfId="147" applyFont="1" applyFill="1" applyBorder="1"/>
    <xf numFmtId="0" fontId="14" fillId="0" borderId="27" xfId="147" applyFont="1" applyFill="1" applyBorder="1"/>
    <xf numFmtId="0" fontId="14" fillId="0" borderId="14" xfId="147" applyFont="1" applyFill="1" applyBorder="1"/>
    <xf numFmtId="49" fontId="14" fillId="0" borderId="1" xfId="147" applyNumberFormat="1" applyFont="1" applyFill="1" applyBorder="1" applyAlignment="1">
      <alignment horizontal="center" vertical="center"/>
    </xf>
    <xf numFmtId="0" fontId="12" fillId="0" borderId="1" xfId="147" applyFont="1" applyFill="1" applyBorder="1" applyAlignment="1">
      <alignment horizontal="center"/>
    </xf>
    <xf numFmtId="165" fontId="14" fillId="0" borderId="1" xfId="147" applyNumberFormat="1" applyFont="1" applyFill="1" applyBorder="1" applyAlignment="1">
      <alignment horizontal="center" vertical="center" wrapText="1"/>
    </xf>
    <xf numFmtId="0" fontId="14" fillId="0" borderId="7" xfId="147" applyFont="1" applyFill="1" applyBorder="1"/>
    <xf numFmtId="168" fontId="14" fillId="0" borderId="0" xfId="147" applyNumberFormat="1" applyFont="1" applyFill="1" applyBorder="1"/>
    <xf numFmtId="0" fontId="8" fillId="0" borderId="27" xfId="147" applyFont="1" applyFill="1" applyBorder="1"/>
    <xf numFmtId="0" fontId="8" fillId="0" borderId="14" xfId="147" applyFont="1" applyFill="1" applyBorder="1"/>
    <xf numFmtId="49" fontId="8" fillId="0" borderId="1" xfId="147" applyNumberFormat="1" applyFont="1" applyFill="1" applyBorder="1" applyAlignment="1">
      <alignment horizontal="center" vertical="center"/>
    </xf>
    <xf numFmtId="0" fontId="10" fillId="0" borderId="1" xfId="147" applyFont="1" applyFill="1" applyBorder="1" applyAlignment="1">
      <alignment horizontal="justify" vertical="center" wrapText="1"/>
    </xf>
    <xf numFmtId="165" fontId="8" fillId="0" borderId="1" xfId="147" applyNumberFormat="1" applyFont="1" applyFill="1" applyBorder="1" applyAlignment="1">
      <alignment horizontal="justify" wrapText="1"/>
    </xf>
    <xf numFmtId="43" fontId="24" fillId="0" borderId="6" xfId="148" applyNumberFormat="1" applyFont="1" applyFill="1" applyBorder="1" applyAlignment="1"/>
    <xf numFmtId="43" fontId="24" fillId="0" borderId="6" xfId="148" applyNumberFormat="1" applyFont="1" applyFill="1" applyBorder="1" applyAlignment="1">
      <alignment horizontal="center" vertical="center"/>
    </xf>
    <xf numFmtId="43" fontId="24" fillId="0" borderId="6" xfId="148" applyNumberFormat="1" applyFont="1" applyBorder="1" applyAlignment="1">
      <alignment horizontal="center" vertical="center"/>
    </xf>
    <xf numFmtId="168" fontId="8" fillId="0" borderId="6" xfId="133" applyNumberFormat="1" applyFont="1" applyFill="1" applyBorder="1" applyAlignment="1">
      <alignment horizontal="center"/>
    </xf>
    <xf numFmtId="0" fontId="8" fillId="0" borderId="0" xfId="147" applyFont="1" applyFill="1" applyBorder="1"/>
    <xf numFmtId="168" fontId="39" fillId="0" borderId="0" xfId="147" applyNumberFormat="1" applyFont="1" applyFill="1" applyBorder="1"/>
    <xf numFmtId="0" fontId="8" fillId="0" borderId="7" xfId="147" applyFont="1" applyFill="1" applyBorder="1"/>
    <xf numFmtId="43" fontId="8" fillId="0" borderId="6" xfId="148" applyNumberFormat="1" applyFont="1" applyBorder="1" applyAlignment="1">
      <alignment vertical="center"/>
    </xf>
    <xf numFmtId="0" fontId="14" fillId="0" borderId="24" xfId="147" applyFont="1" applyFill="1" applyBorder="1"/>
    <xf numFmtId="0" fontId="14" fillId="0" borderId="25" xfId="147" applyFont="1" applyFill="1" applyBorder="1"/>
    <xf numFmtId="0" fontId="8" fillId="0" borderId="4" xfId="148" applyFont="1" applyBorder="1" applyAlignment="1">
      <alignment horizontal="justify" vertical="top"/>
    </xf>
    <xf numFmtId="43" fontId="12" fillId="0" borderId="7" xfId="148" applyNumberFormat="1" applyFont="1" applyFill="1" applyBorder="1" applyAlignment="1">
      <alignment horizontal="center" vertical="center"/>
    </xf>
    <xf numFmtId="168" fontId="14" fillId="0" borderId="30" xfId="133" applyNumberFormat="1" applyFont="1" applyFill="1" applyBorder="1"/>
    <xf numFmtId="0" fontId="14" fillId="0" borderId="30" xfId="147" applyFont="1" applyFill="1" applyBorder="1"/>
    <xf numFmtId="49" fontId="39" fillId="0" borderId="1" xfId="147" applyNumberFormat="1" applyFont="1" applyFill="1" applyBorder="1" applyAlignment="1">
      <alignment horizontal="center" vertical="center"/>
    </xf>
    <xf numFmtId="165" fontId="39" fillId="0" borderId="1" xfId="147" applyNumberFormat="1" applyFont="1" applyFill="1" applyBorder="1" applyAlignment="1">
      <alignment horizontal="center" vertical="center" wrapText="1"/>
    </xf>
    <xf numFmtId="43" fontId="24" fillId="0" borderId="1" xfId="133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147" applyFont="1" applyFill="1" applyBorder="1"/>
    <xf numFmtId="0" fontId="10" fillId="0" borderId="14" xfId="147" applyFont="1" applyFill="1" applyBorder="1"/>
    <xf numFmtId="0" fontId="10" fillId="0" borderId="9" xfId="147" applyFont="1" applyFill="1" applyBorder="1" applyAlignment="1">
      <alignment horizontal="justify" vertical="center" wrapText="1"/>
    </xf>
    <xf numFmtId="165" fontId="40" fillId="0" borderId="4" xfId="147" applyNumberFormat="1" applyFont="1" applyFill="1" applyBorder="1" applyAlignment="1">
      <alignment horizontal="center" vertical="center" wrapText="1"/>
    </xf>
    <xf numFmtId="168" fontId="10" fillId="0" borderId="7" xfId="133" applyNumberFormat="1" applyFont="1" applyFill="1" applyBorder="1"/>
    <xf numFmtId="0" fontId="10" fillId="0" borderId="0" xfId="147" applyFont="1" applyFill="1" applyBorder="1"/>
    <xf numFmtId="168" fontId="40" fillId="0" borderId="0" xfId="147" applyNumberFormat="1" applyFont="1" applyFill="1" applyBorder="1"/>
    <xf numFmtId="0" fontId="10" fillId="0" borderId="7" xfId="147" applyFont="1" applyFill="1" applyBorder="1"/>
    <xf numFmtId="0" fontId="8" fillId="0" borderId="31" xfId="148" applyFont="1" applyBorder="1" applyAlignment="1">
      <alignment horizontal="justify" vertical="top" wrapText="1"/>
    </xf>
    <xf numFmtId="43" fontId="10" fillId="0" borderId="4" xfId="148" applyNumberFormat="1" applyFont="1" applyBorder="1" applyAlignment="1">
      <alignment horizontal="center"/>
    </xf>
    <xf numFmtId="43" fontId="12" fillId="0" borderId="1" xfId="133" applyNumberFormat="1" applyFont="1" applyFill="1" applyBorder="1" applyAlignment="1" applyProtection="1">
      <alignment horizontal="center" vertical="center" wrapText="1"/>
      <protection locked="0"/>
    </xf>
    <xf numFmtId="43" fontId="12" fillId="0" borderId="1" xfId="133" applyNumberFormat="1" applyFont="1" applyFill="1" applyBorder="1" applyAlignment="1">
      <alignment horizontal="center" vertical="center"/>
    </xf>
    <xf numFmtId="169" fontId="8" fillId="0" borderId="6" xfId="133" applyNumberFormat="1" applyFont="1" applyFill="1" applyBorder="1" applyAlignment="1">
      <alignment horizontal="center"/>
    </xf>
    <xf numFmtId="170" fontId="8" fillId="0" borderId="0" xfId="147" applyNumberFormat="1" applyFont="1" applyFill="1" applyBorder="1"/>
    <xf numFmtId="0" fontId="8" fillId="0" borderId="1" xfId="147" applyFont="1" applyFill="1" applyBorder="1" applyAlignment="1">
      <alignment horizontal="justify" vertical="center" wrapText="1"/>
    </xf>
    <xf numFmtId="168" fontId="8" fillId="0" borderId="32" xfId="133" applyNumberFormat="1" applyFont="1" applyFill="1" applyBorder="1"/>
    <xf numFmtId="168" fontId="8" fillId="0" borderId="7" xfId="133" applyNumberFormat="1" applyFont="1" applyFill="1" applyBorder="1"/>
    <xf numFmtId="49" fontId="10" fillId="0" borderId="1" xfId="147" applyNumberFormat="1" applyFont="1" applyFill="1" applyBorder="1" applyAlignment="1">
      <alignment horizontal="center" vertical="center"/>
    </xf>
    <xf numFmtId="1" fontId="10" fillId="0" borderId="1" xfId="147" applyNumberFormat="1" applyFont="1" applyFill="1" applyBorder="1" applyAlignment="1" applyProtection="1">
      <alignment horizontal="justify" vertical="center" wrapText="1"/>
      <protection locked="0"/>
    </xf>
    <xf numFmtId="165" fontId="10" fillId="0" borderId="1" xfId="147" applyNumberFormat="1" applyFont="1" applyFill="1" applyBorder="1" applyAlignment="1">
      <alignment horizontal="justify" wrapText="1"/>
    </xf>
    <xf numFmtId="43" fontId="24" fillId="0" borderId="1" xfId="148" applyNumberFormat="1" applyFont="1" applyFill="1" applyBorder="1" applyAlignment="1">
      <alignment horizontal="center" vertical="center"/>
    </xf>
    <xf numFmtId="43" fontId="24" fillId="0" borderId="1" xfId="133" applyNumberFormat="1" applyFont="1" applyFill="1" applyBorder="1" applyAlignment="1" applyProtection="1">
      <alignment vertical="center" wrapText="1"/>
      <protection locked="0"/>
    </xf>
    <xf numFmtId="168" fontId="10" fillId="0" borderId="22" xfId="133" applyNumberFormat="1" applyFont="1" applyFill="1" applyBorder="1"/>
    <xf numFmtId="170" fontId="10" fillId="0" borderId="0" xfId="147" applyNumberFormat="1" applyFont="1" applyFill="1" applyBorder="1"/>
    <xf numFmtId="0" fontId="10" fillId="0" borderId="6" xfId="148" applyFont="1" applyFill="1" applyBorder="1" applyAlignment="1">
      <alignment horizontal="justify" wrapText="1"/>
    </xf>
    <xf numFmtId="43" fontId="24" fillId="0" borderId="1" xfId="148" applyNumberFormat="1" applyFont="1" applyFill="1" applyBorder="1" applyAlignment="1">
      <alignment vertical="center"/>
    </xf>
    <xf numFmtId="168" fontId="10" fillId="0" borderId="0" xfId="133" applyNumberFormat="1" applyFont="1" applyFill="1" applyBorder="1"/>
    <xf numFmtId="1" fontId="8" fillId="0" borderId="1" xfId="147" applyNumberFormat="1" applyFont="1" applyFill="1" applyBorder="1" applyAlignment="1" applyProtection="1">
      <alignment horizontal="justify" vertical="center" wrapText="1"/>
      <protection locked="0"/>
    </xf>
    <xf numFmtId="43" fontId="12" fillId="0" borderId="1" xfId="148" applyNumberFormat="1" applyFont="1" applyFill="1" applyBorder="1" applyAlignment="1">
      <alignment vertical="center"/>
    </xf>
    <xf numFmtId="168" fontId="8" fillId="0" borderId="0" xfId="133" applyNumberFormat="1" applyFont="1" applyFill="1" applyBorder="1"/>
    <xf numFmtId="49" fontId="8" fillId="0" borderId="1" xfId="0" applyNumberFormat="1" applyFont="1" applyBorder="1" applyAlignment="1">
      <alignment horizontal="left" vertical="center" wrapText="1"/>
    </xf>
    <xf numFmtId="0" fontId="8" fillId="0" borderId="6" xfId="148" applyFont="1" applyFill="1" applyBorder="1" applyAlignment="1">
      <alignment horizontal="justify" wrapText="1"/>
    </xf>
    <xf numFmtId="43" fontId="12" fillId="0" borderId="1" xfId="133" applyNumberFormat="1" applyFont="1" applyFill="1" applyBorder="1" applyAlignment="1" applyProtection="1">
      <alignment vertical="center" wrapText="1"/>
      <protection locked="0"/>
    </xf>
    <xf numFmtId="43" fontId="41" fillId="0" borderId="1" xfId="133" applyNumberFormat="1" applyFont="1" applyFill="1" applyBorder="1" applyAlignment="1">
      <alignment vertical="center"/>
    </xf>
    <xf numFmtId="43" fontId="34" fillId="0" borderId="1" xfId="133" applyNumberFormat="1" applyFont="1" applyFill="1" applyBorder="1" applyAlignment="1">
      <alignment vertical="center"/>
    </xf>
    <xf numFmtId="43" fontId="24" fillId="0" borderId="1" xfId="148" applyNumberFormat="1" applyFont="1" applyBorder="1" applyAlignment="1">
      <alignment vertical="center"/>
    </xf>
    <xf numFmtId="0" fontId="40" fillId="0" borderId="1" xfId="147" applyFont="1" applyFill="1" applyBorder="1"/>
    <xf numFmtId="43" fontId="40" fillId="0" borderId="1" xfId="147" applyNumberFormat="1" applyFont="1" applyFill="1" applyBorder="1" applyAlignment="1"/>
    <xf numFmtId="43" fontId="40" fillId="0" borderId="1" xfId="147" applyNumberFormat="1" applyFont="1" applyFill="1" applyBorder="1"/>
    <xf numFmtId="0" fontId="40" fillId="0" borderId="0" xfId="147" applyFont="1" applyFill="1"/>
    <xf numFmtId="0" fontId="8" fillId="0" borderId="0" xfId="147" applyFill="1"/>
    <xf numFmtId="43" fontId="8" fillId="0" borderId="0" xfId="147" applyNumberFormat="1" applyFont="1" applyFill="1"/>
    <xf numFmtId="0" fontId="8" fillId="0" borderId="33" xfId="147" applyFont="1" applyFill="1" applyBorder="1" applyAlignment="1">
      <alignment horizontal="center" vertical="center"/>
    </xf>
    <xf numFmtId="0" fontId="15" fillId="0" borderId="33" xfId="147" applyFont="1" applyFill="1" applyBorder="1"/>
    <xf numFmtId="165" fontId="15" fillId="0" borderId="33" xfId="147" applyNumberFormat="1" applyFont="1" applyFill="1" applyBorder="1"/>
    <xf numFmtId="0" fontId="8" fillId="0" borderId="0" xfId="147" applyFont="1" applyFill="1"/>
    <xf numFmtId="0" fontId="43" fillId="0" borderId="0" xfId="0" applyFont="1"/>
    <xf numFmtId="43" fontId="12" fillId="0" borderId="6" xfId="148" applyNumberFormat="1" applyFont="1" applyBorder="1" applyAlignment="1">
      <alignment horizontal="center"/>
    </xf>
    <xf numFmtId="43" fontId="12" fillId="0" borderId="6" xfId="148" applyNumberFormat="1" applyFont="1" applyFill="1" applyBorder="1" applyAlignment="1">
      <alignment horizontal="center"/>
    </xf>
    <xf numFmtId="43" fontId="12" fillId="3" borderId="6" xfId="148" applyNumberFormat="1" applyFont="1" applyFill="1" applyBorder="1" applyAlignment="1">
      <alignment horizontal="center"/>
    </xf>
    <xf numFmtId="0" fontId="8" fillId="0" borderId="0" xfId="85" applyFont="1" applyAlignment="1">
      <alignment vertical="top" wrapText="1"/>
    </xf>
    <xf numFmtId="0" fontId="8" fillId="0" borderId="0" xfId="85" applyNumberFormat="1" applyFont="1" applyFill="1" applyBorder="1" applyAlignment="1" applyProtection="1">
      <alignment horizontal="justify" vertical="center" wrapText="1"/>
    </xf>
    <xf numFmtId="0" fontId="8" fillId="0" borderId="0" xfId="85" applyFont="1" applyAlignment="1">
      <alignment vertical="center" wrapText="1"/>
    </xf>
    <xf numFmtId="0" fontId="8" fillId="0" borderId="0" xfId="85" applyFont="1" applyAlignment="1">
      <alignment horizontal="left" vertical="top" wrapText="1"/>
    </xf>
    <xf numFmtId="0" fontId="24" fillId="0" borderId="0" xfId="85" applyFont="1" applyBorder="1" applyAlignment="1">
      <alignment horizontal="justify" vertical="center" wrapText="1"/>
    </xf>
    <xf numFmtId="0" fontId="12" fillId="0" borderId="0" xfId="85" applyFont="1" applyAlignment="1">
      <alignment horizontal="right" vertical="top" wrapText="1"/>
    </xf>
    <xf numFmtId="0" fontId="10" fillId="0" borderId="1" xfId="85" applyFont="1" applyBorder="1" applyAlignment="1">
      <alignment horizontal="center" vertical="center" wrapText="1"/>
    </xf>
    <xf numFmtId="0" fontId="10" fillId="0" borderId="1" xfId="85" applyFont="1" applyFill="1" applyBorder="1" applyAlignment="1">
      <alignment horizontal="center" vertical="center" wrapText="1"/>
    </xf>
    <xf numFmtId="0" fontId="8" fillId="0" borderId="1" xfId="85" applyFont="1" applyBorder="1" applyAlignment="1">
      <alignment horizontal="center" vertical="center" wrapText="1"/>
    </xf>
    <xf numFmtId="0" fontId="10" fillId="0" borderId="1" xfId="85" applyFont="1" applyBorder="1" applyAlignment="1">
      <alignment vertical="top" wrapText="1"/>
    </xf>
    <xf numFmtId="0" fontId="24" fillId="0" borderId="1" xfId="85" applyNumberFormat="1" applyFont="1" applyFill="1" applyBorder="1" applyAlignment="1" applyProtection="1">
      <alignment horizontal="left" vertical="center" wrapText="1"/>
    </xf>
    <xf numFmtId="171" fontId="24" fillId="0" borderId="1" xfId="85" applyNumberFormat="1" applyFont="1" applyFill="1" applyBorder="1" applyAlignment="1" applyProtection="1">
      <alignment horizontal="right" wrapText="1"/>
    </xf>
    <xf numFmtId="0" fontId="10" fillId="0" borderId="0" xfId="85" applyFont="1" applyAlignment="1">
      <alignment vertical="top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justify" vertical="center" wrapText="1"/>
    </xf>
    <xf numFmtId="171" fontId="12" fillId="0" borderId="1" xfId="85" applyNumberFormat="1" applyFont="1" applyFill="1" applyBorder="1" applyAlignment="1" applyProtection="1">
      <alignment horizontal="right" wrapText="1"/>
    </xf>
    <xf numFmtId="43" fontId="12" fillId="0" borderId="1" xfId="146" applyFont="1" applyFill="1" applyBorder="1" applyAlignment="1" applyProtection="1">
      <alignment horizontal="right" wrapText="1"/>
    </xf>
    <xf numFmtId="0" fontId="12" fillId="0" borderId="1" xfId="85" applyFont="1" applyBorder="1" applyAlignment="1">
      <alignment horizontal="right" wrapText="1"/>
    </xf>
    <xf numFmtId="43" fontId="12" fillId="0" borderId="1" xfId="146" applyFont="1" applyBorder="1" applyAlignment="1">
      <alignment horizontal="right" wrapText="1"/>
    </xf>
    <xf numFmtId="0" fontId="8" fillId="0" borderId="1" xfId="85" applyFont="1" applyBorder="1" applyAlignment="1">
      <alignment horizontal="right" wrapText="1"/>
    </xf>
    <xf numFmtId="0" fontId="8" fillId="0" borderId="1" xfId="85" applyFont="1" applyBorder="1" applyAlignment="1">
      <alignment vertical="top" wrapText="1"/>
    </xf>
    <xf numFmtId="0" fontId="12" fillId="0" borderId="0" xfId="85" applyNumberFormat="1" applyFont="1" applyFill="1" applyBorder="1" applyAlignment="1" applyProtection="1">
      <alignment horizontal="justify" vertical="center" wrapText="1"/>
    </xf>
    <xf numFmtId="165" fontId="8" fillId="0" borderId="0" xfId="1" applyNumberFormat="1" applyFont="1" applyFill="1"/>
    <xf numFmtId="49" fontId="8" fillId="0" borderId="0" xfId="1" applyNumberFormat="1" applyFont="1" applyFill="1" applyAlignment="1"/>
    <xf numFmtId="2" fontId="8" fillId="0" borderId="1" xfId="2" applyNumberFormat="1" applyFont="1" applyFill="1" applyBorder="1" applyAlignment="1">
      <alignment horizontal="right" wrapText="1"/>
    </xf>
    <xf numFmtId="2" fontId="10" fillId="0" borderId="0" xfId="1" applyNumberFormat="1" applyFont="1" applyFill="1" applyAlignment="1"/>
    <xf numFmtId="0" fontId="0" fillId="0" borderId="0" xfId="0" applyAlignment="1">
      <alignment wrapText="1"/>
    </xf>
    <xf numFmtId="0" fontId="8" fillId="0" borderId="0" xfId="85" applyFont="1" applyAlignment="1">
      <alignment horizontal="left" vertical="top" wrapText="1"/>
    </xf>
    <xf numFmtId="49" fontId="8" fillId="0" borderId="2" xfId="5" applyNumberFormat="1" applyFont="1" applyFill="1" applyBorder="1" applyAlignment="1">
      <alignment horizontal="center" vertical="center"/>
    </xf>
    <xf numFmtId="49" fontId="8" fillId="0" borderId="1" xfId="5" applyNumberFormat="1" applyFont="1" applyFill="1" applyBorder="1" applyAlignment="1">
      <alignment horizontal="center" vertical="center"/>
    </xf>
    <xf numFmtId="2" fontId="8" fillId="0" borderId="1" xfId="5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8" fillId="0" borderId="6" xfId="147" applyNumberFormat="1" applyFont="1" applyFill="1" applyBorder="1" applyAlignment="1" applyProtection="1">
      <alignment horizontal="justify" vertical="center" wrapText="1"/>
      <protection locked="0"/>
    </xf>
    <xf numFmtId="43" fontId="12" fillId="0" borderId="1" xfId="148" applyNumberFormat="1" applyFont="1" applyFill="1" applyBorder="1" applyAlignment="1">
      <alignment horizontal="center" vertical="center"/>
    </xf>
    <xf numFmtId="43" fontId="12" fillId="0" borderId="1" xfId="148" applyNumberFormat="1" applyFont="1" applyFill="1" applyBorder="1" applyAlignment="1">
      <alignment wrapText="1"/>
    </xf>
    <xf numFmtId="43" fontId="12" fillId="0" borderId="6" xfId="148" applyNumberFormat="1" applyFont="1" applyFill="1" applyBorder="1" applyAlignment="1">
      <alignment wrapText="1"/>
    </xf>
    <xf numFmtId="43" fontId="12" fillId="0" borderId="4" xfId="148" applyNumberFormat="1" applyFont="1" applyFill="1" applyBorder="1" applyAlignment="1">
      <alignment vertical="center"/>
    </xf>
    <xf numFmtId="2" fontId="10" fillId="0" borderId="1" xfId="0" applyNumberFormat="1" applyFont="1" applyBorder="1" applyAlignment="1">
      <alignment wrapText="1"/>
    </xf>
    <xf numFmtId="0" fontId="23" fillId="0" borderId="3" xfId="1" applyFont="1" applyFill="1" applyBorder="1" applyAlignment="1">
      <alignment horizontal="left" wrapText="1"/>
    </xf>
    <xf numFmtId="0" fontId="31" fillId="0" borderId="3" xfId="143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wrapText="1"/>
    </xf>
    <xf numFmtId="2" fontId="10" fillId="0" borderId="1" xfId="0" applyNumberFormat="1" applyFont="1" applyBorder="1" applyAlignment="1">
      <alignment horizontal="right" vertical="center" wrapText="1"/>
    </xf>
    <xf numFmtId="0" fontId="25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164" fontId="8" fillId="0" borderId="0" xfId="2" applyNumberFormat="1" applyFont="1" applyFill="1" applyBorder="1" applyAlignment="1">
      <alignment horizontal="right" wrapText="1"/>
    </xf>
    <xf numFmtId="2" fontId="8" fillId="0" borderId="1" xfId="7" applyNumberFormat="1" applyFont="1" applyFill="1" applyBorder="1" applyAlignment="1">
      <alignment horizontal="right" wrapText="1"/>
    </xf>
    <xf numFmtId="2" fontId="8" fillId="0" borderId="1" xfId="4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 wrapText="1"/>
    </xf>
    <xf numFmtId="2" fontId="8" fillId="0" borderId="1" xfId="5" applyNumberFormat="1" applyFont="1" applyFill="1" applyBorder="1" applyAlignment="1">
      <alignment horizontal="right" wrapText="1"/>
    </xf>
    <xf numFmtId="2" fontId="8" fillId="0" borderId="3" xfId="2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 wrapText="1" shrinkToFit="1"/>
    </xf>
    <xf numFmtId="2" fontId="8" fillId="0" borderId="3" xfId="1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/>
    <xf numFmtId="2" fontId="39" fillId="0" borderId="1" xfId="1" applyNumberFormat="1" applyFont="1" applyFill="1" applyBorder="1" applyAlignment="1">
      <alignment horizontal="right"/>
    </xf>
    <xf numFmtId="2" fontId="39" fillId="0" borderId="1" xfId="2" applyNumberFormat="1" applyFont="1" applyFill="1" applyBorder="1" applyAlignment="1">
      <alignment horizontal="right" wrapText="1"/>
    </xf>
    <xf numFmtId="2" fontId="39" fillId="0" borderId="1" xfId="150" applyNumberFormat="1" applyFont="1" applyFill="1" applyBorder="1" applyAlignment="1">
      <alignment horizontal="right" wrapText="1"/>
    </xf>
    <xf numFmtId="2" fontId="11" fillId="0" borderId="1" xfId="1" applyNumberFormat="1" applyFont="1" applyFill="1" applyBorder="1" applyAlignment="1">
      <alignment horizontal="right" wrapText="1"/>
    </xf>
    <xf numFmtId="2" fontId="39" fillId="0" borderId="1" xfId="1" applyNumberFormat="1" applyFont="1" applyFill="1" applyBorder="1" applyAlignment="1">
      <alignment horizontal="right" wrapText="1"/>
    </xf>
    <xf numFmtId="2" fontId="39" fillId="0" borderId="1" xfId="0" applyNumberFormat="1" applyFont="1" applyFill="1" applyBorder="1" applyAlignment="1">
      <alignment horizontal="right" wrapText="1" shrinkToFit="1"/>
    </xf>
    <xf numFmtId="171" fontId="40" fillId="0" borderId="1" xfId="85" applyNumberFormat="1" applyFont="1" applyFill="1" applyBorder="1" applyAlignment="1" applyProtection="1">
      <alignment horizontal="right" wrapText="1"/>
    </xf>
    <xf numFmtId="0" fontId="8" fillId="0" borderId="1" xfId="1" applyNumberFormat="1" applyFont="1" applyFill="1" applyBorder="1" applyAlignment="1">
      <alignment horizontal="left"/>
    </xf>
    <xf numFmtId="2" fontId="8" fillId="0" borderId="1" xfId="0" applyNumberFormat="1" applyFont="1" applyBorder="1" applyAlignment="1">
      <alignment horizontal="right" wrapText="1"/>
    </xf>
    <xf numFmtId="0" fontId="12" fillId="0" borderId="1" xfId="85" applyNumberFormat="1" applyFont="1" applyFill="1" applyBorder="1" applyAlignment="1" applyProtection="1">
      <alignment horizontal="justify" vertical="center" wrapText="1"/>
    </xf>
    <xf numFmtId="0" fontId="44" fillId="2" borderId="0" xfId="0" applyFont="1" applyFill="1" applyAlignment="1">
      <alignment horizontal="center" vertical="center"/>
    </xf>
    <xf numFmtId="0" fontId="44" fillId="0" borderId="0" xfId="0" applyFont="1" applyAlignment="1"/>
    <xf numFmtId="0" fontId="44" fillId="0" borderId="0" xfId="0" applyFont="1"/>
    <xf numFmtId="0" fontId="44" fillId="0" borderId="0" xfId="0" applyFont="1" applyFill="1"/>
    <xf numFmtId="166" fontId="14" fillId="0" borderId="1" xfId="0" applyNumberFormat="1" applyFont="1" applyFill="1" applyBorder="1" applyAlignment="1">
      <alignment horizontal="center" vertical="center"/>
    </xf>
    <xf numFmtId="0" fontId="44" fillId="2" borderId="0" xfId="0" applyFont="1" applyFill="1" applyAlignment="1">
      <alignment horizontal="justify" vertical="center" wrapText="1"/>
    </xf>
    <xf numFmtId="164" fontId="44" fillId="0" borderId="0" xfId="0" applyNumberFormat="1" applyFont="1" applyFill="1"/>
    <xf numFmtId="0" fontId="44" fillId="2" borderId="0" xfId="0" applyFont="1" applyFill="1" applyAlignment="1">
      <alignment horizontal="justify" vertical="center"/>
    </xf>
    <xf numFmtId="164" fontId="39" fillId="0" borderId="1" xfId="1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left" vertical="top"/>
    </xf>
    <xf numFmtId="0" fontId="32" fillId="0" borderId="0" xfId="0" applyFont="1" applyFill="1" applyAlignment="1">
      <alignment horizontal="left" wrapText="1"/>
    </xf>
    <xf numFmtId="49" fontId="10" fillId="0" borderId="2" xfId="5" applyNumberFormat="1" applyFont="1" applyFill="1" applyBorder="1" applyAlignment="1">
      <alignment horizontal="center"/>
    </xf>
    <xf numFmtId="164" fontId="7" fillId="0" borderId="0" xfId="127" applyNumberFormat="1" applyFont="1" applyFill="1"/>
    <xf numFmtId="164" fontId="8" fillId="0" borderId="0" xfId="5" applyNumberFormat="1" applyFont="1" applyFill="1" applyBorder="1" applyAlignment="1">
      <alignment horizontal="right" wrapText="1"/>
    </xf>
    <xf numFmtId="2" fontId="39" fillId="0" borderId="1" xfId="4" applyNumberFormat="1" applyFont="1" applyFill="1" applyBorder="1" applyAlignment="1">
      <alignment horizontal="right"/>
    </xf>
    <xf numFmtId="2" fontId="39" fillId="0" borderId="0" xfId="0" applyNumberFormat="1" applyFont="1" applyFill="1" applyAlignment="1">
      <alignment horizontal="right" vertical="center"/>
    </xf>
    <xf numFmtId="2" fontId="8" fillId="0" borderId="1" xfId="1" applyNumberFormat="1" applyFont="1" applyFill="1" applyBorder="1" applyAlignment="1">
      <alignment horizontal="right" vertical="top"/>
    </xf>
    <xf numFmtId="2" fontId="10" fillId="0" borderId="1" xfId="4" applyNumberFormat="1" applyFont="1" applyFill="1" applyBorder="1" applyAlignment="1">
      <alignment horizontal="right"/>
    </xf>
    <xf numFmtId="2" fontId="39" fillId="0" borderId="1" xfId="1" applyNumberFormat="1" applyFont="1" applyFill="1" applyBorder="1" applyAlignment="1"/>
    <xf numFmtId="2" fontId="39" fillId="0" borderId="0" xfId="1" applyNumberFormat="1" applyFont="1" applyFill="1" applyAlignment="1">
      <alignment horizontal="right"/>
    </xf>
    <xf numFmtId="0" fontId="27" fillId="2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right" vertical="top" wrapText="1"/>
    </xf>
    <xf numFmtId="0" fontId="4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0" fillId="0" borderId="3" xfId="5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0" xfId="5" applyFont="1" applyBorder="1" applyAlignment="1">
      <alignment horizontal="center" wrapText="1"/>
    </xf>
    <xf numFmtId="0" fontId="7" fillId="0" borderId="0" xfId="18" applyFont="1" applyAlignment="1">
      <alignment wrapText="1"/>
    </xf>
    <xf numFmtId="0" fontId="0" fillId="0" borderId="0" xfId="0" applyAlignment="1">
      <alignment wrapText="1"/>
    </xf>
    <xf numFmtId="0" fontId="10" fillId="0" borderId="0" xfId="5" applyFont="1" applyBorder="1" applyAlignment="1">
      <alignment horizontal="center" vertical="center" wrapText="1"/>
    </xf>
    <xf numFmtId="0" fontId="8" fillId="0" borderId="0" xfId="5" applyFont="1" applyAlignment="1">
      <alignment vertical="center" wrapText="1"/>
    </xf>
    <xf numFmtId="164" fontId="15" fillId="0" borderId="0" xfId="5" applyNumberFormat="1" applyFont="1" applyAlignment="1">
      <alignment horizontal="right" vertical="center" wrapText="1"/>
    </xf>
    <xf numFmtId="0" fontId="47" fillId="0" borderId="0" xfId="0" applyFont="1" applyAlignment="1">
      <alignment horizontal="right" wrapText="1"/>
    </xf>
    <xf numFmtId="0" fontId="8" fillId="0" borderId="0" xfId="5" applyFont="1" applyAlignment="1">
      <alignment horizontal="right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10" fillId="0" borderId="3" xfId="5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32" fillId="0" borderId="0" xfId="0" applyFont="1" applyFill="1" applyAlignment="1">
      <alignment horizontal="left" wrapText="1"/>
    </xf>
    <xf numFmtId="2" fontId="32" fillId="0" borderId="0" xfId="0" applyNumberFormat="1" applyFont="1" applyFill="1" applyAlignment="1">
      <alignment horizontal="right" wrapText="1"/>
    </xf>
    <xf numFmtId="0" fontId="24" fillId="0" borderId="0" xfId="1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10" fillId="0" borderId="13" xfId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32" fillId="0" borderId="7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wrapText="1"/>
    </xf>
    <xf numFmtId="49" fontId="10" fillId="0" borderId="2" xfId="5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right" wrapText="1"/>
    </xf>
    <xf numFmtId="0" fontId="32" fillId="0" borderId="12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6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0" fillId="0" borderId="3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67" fontId="15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8" fillId="0" borderId="0" xfId="85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7" fillId="0" borderId="0" xfId="85" applyFont="1" applyBorder="1" applyAlignment="1">
      <alignment horizontal="center" vertical="center" wrapText="1"/>
    </xf>
    <xf numFmtId="0" fontId="10" fillId="0" borderId="1" xfId="85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wrapText="1"/>
    </xf>
    <xf numFmtId="0" fontId="8" fillId="0" borderId="0" xfId="147" applyFont="1" applyFill="1" applyBorder="1" applyAlignment="1">
      <alignment horizontal="right" wrapText="1"/>
    </xf>
    <xf numFmtId="0" fontId="27" fillId="0" borderId="0" xfId="147" applyFont="1" applyFill="1" applyBorder="1" applyAlignment="1">
      <alignment horizontal="center" vertical="center"/>
    </xf>
    <xf numFmtId="0" fontId="0" fillId="0" borderId="0" xfId="0" applyAlignment="1"/>
    <xf numFmtId="0" fontId="27" fillId="0" borderId="4" xfId="147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/>
    </xf>
    <xf numFmtId="165" fontId="39" fillId="0" borderId="1" xfId="147" applyNumberFormat="1" applyFont="1" applyFill="1" applyBorder="1" applyAlignment="1">
      <alignment horizontal="center" vertical="center" wrapText="1"/>
    </xf>
    <xf numFmtId="0" fontId="24" fillId="0" borderId="17" xfId="148" applyFont="1" applyBorder="1" applyAlignment="1">
      <alignment horizontal="center" vertical="center" wrapText="1"/>
    </xf>
    <xf numFmtId="0" fontId="12" fillId="0" borderId="26" xfId="149" applyFont="1" applyBorder="1" applyAlignment="1">
      <alignment horizontal="center" vertical="center" wrapText="1"/>
    </xf>
    <xf numFmtId="1" fontId="24" fillId="0" borderId="18" xfId="148" applyNumberFormat="1" applyFont="1" applyBorder="1" applyAlignment="1">
      <alignment horizontal="center" vertical="center"/>
    </xf>
    <xf numFmtId="1" fontId="24" fillId="0" borderId="19" xfId="148" applyNumberFormat="1" applyFont="1" applyBorder="1" applyAlignment="1">
      <alignment horizontal="center" vertical="center"/>
    </xf>
    <xf numFmtId="1" fontId="24" fillId="0" borderId="20" xfId="148" applyNumberFormat="1" applyFont="1" applyBorder="1" applyAlignment="1">
      <alignment horizontal="center" vertical="center"/>
    </xf>
    <xf numFmtId="2" fontId="15" fillId="0" borderId="0" xfId="0" applyNumberFormat="1" applyFont="1" applyFill="1" applyAlignment="1">
      <alignment horizontal="right" vertical="top" wrapText="1"/>
    </xf>
  </cellXfs>
  <cellStyles count="151">
    <cellStyle name="Excel Built-in Normal" xfId="11"/>
    <cellStyle name="Гиперссылка 2" xfId="12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3" xfId="142"/>
    <cellStyle name="Обычный 18 2 4" xfId="150"/>
    <cellStyle name="Обычный 18 3" xfId="21"/>
    <cellStyle name="Обычный 18 3 2" xfId="143"/>
    <cellStyle name="Обычный 18 3 3" xfId="144"/>
    <cellStyle name="Обычный 18 4" xfId="2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7" xfId="127"/>
    <cellStyle name="Обычный 8" xfId="128"/>
    <cellStyle name="Обычный 9" xfId="129"/>
    <cellStyle name="Обычный_ПР 13 фин.помощь1" xfId="148"/>
    <cellStyle name="Обычный_Прил 22,23,24" xfId="147"/>
    <cellStyle name="Обычный_Прил 5,6,8,18" xfId="149"/>
    <cellStyle name="Обычный_прил 7,9-2009-2010 нов классиф." xfId="7"/>
    <cellStyle name="Обычный_прилож 8,10 -2008г." xfId="5"/>
    <cellStyle name="Обычный_Прилож.№9 кап.стр." xfId="145"/>
    <cellStyle name="Процентный 2" xfId="130"/>
    <cellStyle name="Тысячи [0]_перечис.11" xfId="131"/>
    <cellStyle name="Тысячи_перечис.11" xfId="132"/>
    <cellStyle name="Финансовый" xfId="146" builtinId="3"/>
    <cellStyle name="Финансовый 13" xfId="133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4" xfId="137"/>
    <cellStyle name="Финансовый 5" xfId="13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75" zoomScaleNormal="100" zoomScaleSheetLayoutView="75" workbookViewId="0">
      <selection activeCell="D2" sqref="D2:E2"/>
    </sheetView>
  </sheetViews>
  <sheetFormatPr defaultRowHeight="15" x14ac:dyDescent="0.25"/>
  <cols>
    <col min="1" max="1" width="13" style="281" customWidth="1"/>
    <col min="2" max="2" width="58" style="286" customWidth="1"/>
    <col min="3" max="3" width="15.140625" style="284" customWidth="1"/>
    <col min="4" max="4" width="17.7109375" style="283" customWidth="1"/>
    <col min="5" max="5" width="17.7109375" style="284" customWidth="1"/>
    <col min="6" max="16384" width="9.140625" style="283"/>
  </cols>
  <sheetData>
    <row r="1" spans="1:5" ht="30.75" customHeight="1" x14ac:dyDescent="0.25">
      <c r="A1" s="50"/>
      <c r="B1" s="281"/>
      <c r="C1" s="282"/>
      <c r="D1" s="304" t="s">
        <v>593</v>
      </c>
      <c r="E1" s="305"/>
    </row>
    <row r="2" spans="1:5" ht="75.75" customHeight="1" x14ac:dyDescent="0.25">
      <c r="A2" s="50"/>
      <c r="B2" s="74"/>
      <c r="C2" s="282"/>
      <c r="D2" s="303" t="s">
        <v>660</v>
      </c>
      <c r="E2" s="303"/>
    </row>
    <row r="3" spans="1:5" ht="68.25" customHeight="1" x14ac:dyDescent="0.25">
      <c r="A3" s="301" t="s">
        <v>594</v>
      </c>
      <c r="B3" s="301"/>
      <c r="C3" s="302"/>
      <c r="D3" s="302"/>
      <c r="E3" s="302"/>
    </row>
    <row r="4" spans="1:5" ht="18.75" x14ac:dyDescent="0.3">
      <c r="A4" s="49"/>
      <c r="B4" s="48"/>
      <c r="E4" s="284" t="s">
        <v>161</v>
      </c>
    </row>
    <row r="5" spans="1:5" ht="52.5" customHeight="1" x14ac:dyDescent="0.25">
      <c r="A5" s="47" t="s">
        <v>223</v>
      </c>
      <c r="B5" s="47" t="s">
        <v>222</v>
      </c>
      <c r="C5" s="10" t="s">
        <v>348</v>
      </c>
      <c r="D5" s="55" t="s">
        <v>251</v>
      </c>
      <c r="E5" s="10" t="s">
        <v>348</v>
      </c>
    </row>
    <row r="6" spans="1:5" ht="61.5" customHeight="1" x14ac:dyDescent="0.25">
      <c r="A6" s="46" t="s">
        <v>15</v>
      </c>
      <c r="B6" s="56" t="s">
        <v>230</v>
      </c>
      <c r="C6" s="78">
        <f>'прил 14 КЦСР 19'!D352</f>
        <v>26275.608079999998</v>
      </c>
      <c r="D6" s="78">
        <f>'прил 14 КЦСР 19'!E352</f>
        <v>2190.2507900000001</v>
      </c>
      <c r="E6" s="78">
        <f>'прил 14 КЦСР 19'!F352</f>
        <v>28465.858869999996</v>
      </c>
    </row>
    <row r="7" spans="1:5" ht="61.5" customHeight="1" x14ac:dyDescent="0.25">
      <c r="A7" s="46" t="s">
        <v>27</v>
      </c>
      <c r="B7" s="56" t="s">
        <v>231</v>
      </c>
      <c r="C7" s="78">
        <f>'прил 14 КЦСР 19'!D360</f>
        <v>55870.478780000005</v>
      </c>
      <c r="D7" s="78">
        <f>'прил 14 КЦСР 19'!E360</f>
        <v>1568.7690200000013</v>
      </c>
      <c r="E7" s="78">
        <f>'прил 14 КЦСР 19'!F360</f>
        <v>57439.247799999997</v>
      </c>
    </row>
    <row r="8" spans="1:5" ht="61.5" customHeight="1" x14ac:dyDescent="0.25">
      <c r="A8" s="103" t="s">
        <v>6</v>
      </c>
      <c r="B8" s="57" t="s">
        <v>542</v>
      </c>
      <c r="C8" s="78">
        <f>'прил 14 КЦСР 19'!D367</f>
        <v>43129.832999999991</v>
      </c>
      <c r="D8" s="78">
        <f>'прил 14 КЦСР 19'!E367</f>
        <v>977.60587999999984</v>
      </c>
      <c r="E8" s="78">
        <f>'прил 14 КЦСР 19'!F367</f>
        <v>44107.438879999994</v>
      </c>
    </row>
    <row r="9" spans="1:5" ht="61.5" customHeight="1" x14ac:dyDescent="0.25">
      <c r="A9" s="46" t="s">
        <v>59</v>
      </c>
      <c r="B9" s="56" t="s">
        <v>232</v>
      </c>
      <c r="C9" s="79">
        <f>'прил 14 КЦСР 19'!D375</f>
        <v>19883.931140000001</v>
      </c>
      <c r="D9" s="79">
        <f>'прил 14 КЦСР 19'!E375</f>
        <v>1415.27</v>
      </c>
      <c r="E9" s="79">
        <f>'прил 14 КЦСР 19'!F375</f>
        <v>21299.201139999997</v>
      </c>
    </row>
    <row r="10" spans="1:5" ht="61.5" customHeight="1" x14ac:dyDescent="0.25">
      <c r="A10" s="103" t="s">
        <v>53</v>
      </c>
      <c r="B10" s="56" t="s">
        <v>435</v>
      </c>
      <c r="C10" s="78">
        <f>'прил 14 КЦСР 19'!D387</f>
        <v>23119.317510000001</v>
      </c>
      <c r="D10" s="78">
        <f>'прил 14 КЦСР 19'!E387</f>
        <v>4058.1800899999998</v>
      </c>
      <c r="E10" s="78">
        <f>'прил 14 КЦСР 19'!F387</f>
        <v>27177.497599999999</v>
      </c>
    </row>
    <row r="11" spans="1:5" ht="61.5" customHeight="1" x14ac:dyDescent="0.25">
      <c r="A11" s="103" t="s">
        <v>79</v>
      </c>
      <c r="B11" s="56" t="s">
        <v>434</v>
      </c>
      <c r="C11" s="78">
        <f>'прил 14 КЦСР 19'!D383</f>
        <v>486717.17944000009</v>
      </c>
      <c r="D11" s="78">
        <f>'прил 14 КЦСР 19'!E383</f>
        <v>27797.394470000014</v>
      </c>
      <c r="E11" s="78">
        <f>'прил 14 КЦСР 19'!F383</f>
        <v>514514.57390999998</v>
      </c>
    </row>
    <row r="12" spans="1:5" ht="37.5" customHeight="1" x14ac:dyDescent="0.25">
      <c r="A12" s="46"/>
      <c r="B12" s="56" t="s">
        <v>330</v>
      </c>
      <c r="C12" s="285">
        <f>'прил 14 КЦСР 19'!D390</f>
        <v>12962.55</v>
      </c>
      <c r="D12" s="285">
        <f>'прил 14 КЦСР 19'!E390</f>
        <v>-5460.3419199999998</v>
      </c>
      <c r="E12" s="285">
        <f>'прил 14 КЦСР 19'!F390</f>
        <v>7502.2080800000003</v>
      </c>
    </row>
    <row r="13" spans="1:5" ht="46.5" customHeight="1" x14ac:dyDescent="0.25">
      <c r="A13" s="45"/>
      <c r="B13" s="45" t="s">
        <v>221</v>
      </c>
      <c r="C13" s="44">
        <f>SUM(C6:C12)</f>
        <v>667958.89795000013</v>
      </c>
      <c r="D13" s="44">
        <f>SUM(D6:D12)</f>
        <v>32547.128330000014</v>
      </c>
      <c r="E13" s="44">
        <f>SUM(E6:E12)</f>
        <v>700506.02627999999</v>
      </c>
    </row>
    <row r="14" spans="1:5" x14ac:dyDescent="0.25">
      <c r="C14" s="100">
        <v>667958.89795000001</v>
      </c>
      <c r="D14" s="101">
        <v>32547.12833</v>
      </c>
      <c r="E14" s="101">
        <f>C14+D14</f>
        <v>700506.02627999999</v>
      </c>
    </row>
    <row r="15" spans="1:5" x14ac:dyDescent="0.25">
      <c r="C15" s="287">
        <f>C14-C13</f>
        <v>0</v>
      </c>
      <c r="D15" s="287">
        <f t="shared" ref="D15:E15" si="0">D14-D13</f>
        <v>0</v>
      </c>
      <c r="E15" s="287">
        <f t="shared" si="0"/>
        <v>0</v>
      </c>
    </row>
    <row r="18" spans="1:5" ht="18.75" x14ac:dyDescent="0.25">
      <c r="A18" s="283"/>
      <c r="B18" s="43"/>
      <c r="C18" s="283"/>
      <c r="E18" s="283"/>
    </row>
    <row r="32" spans="1:5" x14ac:dyDescent="0.25">
      <c r="A32" s="288"/>
      <c r="B32" s="288"/>
      <c r="C32" s="283"/>
      <c r="E32" s="283"/>
    </row>
    <row r="33" spans="1:5" x14ac:dyDescent="0.25">
      <c r="A33" s="288"/>
      <c r="B33" s="288"/>
      <c r="C33" s="283"/>
      <c r="E33" s="283"/>
    </row>
  </sheetData>
  <mergeCells count="3">
    <mergeCell ref="A3:E3"/>
    <mergeCell ref="D2:E2"/>
    <mergeCell ref="D1:E1"/>
  </mergeCells>
  <pageMargins left="1.1023622047244095" right="0" top="0.74803149606299213" bottom="0.55118110236220474" header="0.31496062992125984" footer="0.31496062992125984"/>
  <pageSetup paperSize="9" scale="72" orientation="portrait" r:id="rId1"/>
  <colBreaks count="1" manualBreakCount="1">
    <brk id="5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view="pageBreakPreview" topLeftCell="A41" zoomScaleNormal="100" zoomScaleSheetLayoutView="100" workbookViewId="0">
      <selection activeCell="A5" sqref="A5:F5"/>
    </sheetView>
  </sheetViews>
  <sheetFormatPr defaultRowHeight="15" x14ac:dyDescent="0.25"/>
  <cols>
    <col min="1" max="1" width="47.42578125" style="12" customWidth="1"/>
    <col min="3" max="3" width="9.140625" style="11"/>
    <col min="4" max="4" width="13.7109375" customWidth="1"/>
    <col min="5" max="5" width="13" customWidth="1"/>
    <col min="6" max="6" width="15.140625" customWidth="1"/>
  </cols>
  <sheetData>
    <row r="1" spans="1:6" s="12" customFormat="1" ht="12.75" customHeight="1" x14ac:dyDescent="0.25">
      <c r="A1" s="27"/>
      <c r="C1" s="315" t="s">
        <v>596</v>
      </c>
      <c r="D1" s="305"/>
      <c r="E1" s="305"/>
      <c r="F1" s="305"/>
    </row>
    <row r="2" spans="1:6" s="12" customFormat="1" ht="52.5" customHeight="1" x14ac:dyDescent="0.2">
      <c r="A2" s="27"/>
      <c r="C2" s="313" t="s">
        <v>660</v>
      </c>
      <c r="D2" s="314"/>
      <c r="E2" s="314"/>
      <c r="F2" s="314"/>
    </row>
    <row r="3" spans="1:6" s="12" customFormat="1" ht="9" customHeight="1" x14ac:dyDescent="0.2">
      <c r="A3" s="27"/>
      <c r="B3" s="26"/>
      <c r="C3" s="26"/>
    </row>
    <row r="4" spans="1:6" s="12" customFormat="1" x14ac:dyDescent="0.25">
      <c r="A4" s="311" t="s">
        <v>209</v>
      </c>
      <c r="B4" s="312"/>
      <c r="C4" s="312"/>
      <c r="D4" s="310"/>
      <c r="E4" s="310"/>
      <c r="F4" s="310"/>
    </row>
    <row r="5" spans="1:6" s="12" customFormat="1" ht="29.25" customHeight="1" x14ac:dyDescent="0.25">
      <c r="A5" s="308" t="s">
        <v>597</v>
      </c>
      <c r="B5" s="309"/>
      <c r="C5" s="309"/>
      <c r="D5" s="310"/>
      <c r="E5" s="310"/>
      <c r="F5" s="310"/>
    </row>
    <row r="6" spans="1:6" s="12" customFormat="1" ht="18" customHeight="1" x14ac:dyDescent="0.2">
      <c r="A6" s="75"/>
      <c r="B6" s="76"/>
      <c r="C6" s="76"/>
      <c r="F6" s="58" t="s">
        <v>161</v>
      </c>
    </row>
    <row r="7" spans="1:6" s="13" customFormat="1" ht="41.25" customHeight="1" x14ac:dyDescent="0.2">
      <c r="A7" s="25" t="s">
        <v>208</v>
      </c>
      <c r="B7" s="316" t="s">
        <v>207</v>
      </c>
      <c r="C7" s="317"/>
      <c r="D7" s="10" t="s">
        <v>621</v>
      </c>
      <c r="E7" s="10" t="s">
        <v>251</v>
      </c>
      <c r="F7" s="10" t="s">
        <v>620</v>
      </c>
    </row>
    <row r="8" spans="1:6" s="13" customFormat="1" ht="18.75" customHeight="1" x14ac:dyDescent="0.2">
      <c r="A8" s="18" t="s">
        <v>157</v>
      </c>
      <c r="B8" s="318" t="s">
        <v>206</v>
      </c>
      <c r="C8" s="319"/>
      <c r="D8" s="16">
        <f t="shared" ref="D8" si="0">SUM(D9:D16)</f>
        <v>31002.453109999999</v>
      </c>
      <c r="E8" s="16">
        <f>SUM(E9:E16)</f>
        <v>-3308.5062499999995</v>
      </c>
      <c r="F8" s="16">
        <f>SUM(F9:F16)</f>
        <v>27693.946859999996</v>
      </c>
    </row>
    <row r="9" spans="1:6" s="13" customFormat="1" ht="25.5" x14ac:dyDescent="0.2">
      <c r="A9" s="22" t="s">
        <v>205</v>
      </c>
      <c r="B9" s="21" t="s">
        <v>15</v>
      </c>
      <c r="C9" s="20" t="s">
        <v>27</v>
      </c>
      <c r="D9" s="19">
        <f>'прил 16  вед стр 19г'!G523</f>
        <v>1457.55</v>
      </c>
      <c r="E9" s="19">
        <f>'прил 16  вед стр 19г'!H523</f>
        <v>522.52350999999999</v>
      </c>
      <c r="F9" s="19">
        <f>'прил 16  вед стр 19г'!I523</f>
        <v>1980.0735099999999</v>
      </c>
    </row>
    <row r="10" spans="1:6" s="13" customFormat="1" ht="25.5" x14ac:dyDescent="0.2">
      <c r="A10" s="22" t="s">
        <v>204</v>
      </c>
      <c r="B10" s="21" t="s">
        <v>15</v>
      </c>
      <c r="C10" s="20" t="s">
        <v>6</v>
      </c>
      <c r="D10" s="19">
        <f>'прил 16  вед стр 19г'!G524</f>
        <v>1903.8400000000001</v>
      </c>
      <c r="E10" s="19">
        <f>'прил 16  вед стр 19г'!H524</f>
        <v>106.62651</v>
      </c>
      <c r="F10" s="19">
        <f>'прил 16  вед стр 19г'!I524</f>
        <v>2010.4665100000002</v>
      </c>
    </row>
    <row r="11" spans="1:6" s="13" customFormat="1" ht="12.75" x14ac:dyDescent="0.2">
      <c r="A11" s="22" t="s">
        <v>203</v>
      </c>
      <c r="B11" s="21" t="s">
        <v>15</v>
      </c>
      <c r="C11" s="20" t="s">
        <v>59</v>
      </c>
      <c r="D11" s="19">
        <f>'прил 16  вед стр 19г'!G525</f>
        <v>12932.85787</v>
      </c>
      <c r="E11" s="19">
        <f>'прил 16  вед стр 19г'!H525</f>
        <v>2490.2507900000001</v>
      </c>
      <c r="F11" s="19">
        <f>'прил 16  вед стр 19г'!I525</f>
        <v>15423.10866</v>
      </c>
    </row>
    <row r="12" spans="1:6" s="13" customFormat="1" ht="12.75" x14ac:dyDescent="0.2">
      <c r="A12" s="22" t="s">
        <v>202</v>
      </c>
      <c r="B12" s="21" t="s">
        <v>15</v>
      </c>
      <c r="C12" s="20" t="s">
        <v>36</v>
      </c>
      <c r="D12" s="19">
        <f>'прил 16  вед стр 19г'!G526</f>
        <v>9.6</v>
      </c>
      <c r="E12" s="19">
        <f>'прил 16  вед стр 19г'!H526</f>
        <v>0</v>
      </c>
      <c r="F12" s="19">
        <f>'прил 16  вед стр 19г'!I526</f>
        <v>9.6</v>
      </c>
    </row>
    <row r="13" spans="1:6" s="13" customFormat="1" ht="27.75" customHeight="1" x14ac:dyDescent="0.2">
      <c r="A13" s="22" t="s">
        <v>201</v>
      </c>
      <c r="B13" s="21" t="s">
        <v>15</v>
      </c>
      <c r="C13" s="20" t="s">
        <v>53</v>
      </c>
      <c r="D13" s="19">
        <f>'прил 16  вед стр 19г'!G527</f>
        <v>4953.5929999999998</v>
      </c>
      <c r="E13" s="19">
        <f>'прил 16  вед стр 19г'!H527</f>
        <v>828.01093999999989</v>
      </c>
      <c r="F13" s="19">
        <f>'прил 16  вед стр 19г'!I527</f>
        <v>5781.60394</v>
      </c>
    </row>
    <row r="14" spans="1:6" s="13" customFormat="1" ht="15.75" hidden="1" customHeight="1" x14ac:dyDescent="0.2">
      <c r="A14" s="22" t="s">
        <v>130</v>
      </c>
      <c r="B14" s="21" t="s">
        <v>15</v>
      </c>
      <c r="C14" s="20" t="s">
        <v>79</v>
      </c>
      <c r="D14" s="19">
        <f>'прил 16  вед стр 19г'!G528</f>
        <v>0</v>
      </c>
      <c r="E14" s="19">
        <f>'прил 16  вед стр 19г'!H528</f>
        <v>0</v>
      </c>
      <c r="F14" s="19">
        <f>'прил 16  вед стр 19г'!I528</f>
        <v>0</v>
      </c>
    </row>
    <row r="15" spans="1:6" s="13" customFormat="1" ht="12.75" x14ac:dyDescent="0.2">
      <c r="A15" s="22" t="s">
        <v>129</v>
      </c>
      <c r="B15" s="21" t="s">
        <v>15</v>
      </c>
      <c r="C15" s="20" t="s">
        <v>37</v>
      </c>
      <c r="D15" s="19">
        <f>'прил 16  вед стр 19г'!G529</f>
        <v>8597</v>
      </c>
      <c r="E15" s="19">
        <f>'прил 16  вед стр 19г'!H529</f>
        <v>-7255.9179999999997</v>
      </c>
      <c r="F15" s="19">
        <f>'прил 16  вед стр 19г'!I529</f>
        <v>1341.0819999999999</v>
      </c>
    </row>
    <row r="16" spans="1:6" s="13" customFormat="1" ht="12.75" x14ac:dyDescent="0.2">
      <c r="A16" s="6" t="s">
        <v>128</v>
      </c>
      <c r="B16" s="21" t="s">
        <v>15</v>
      </c>
      <c r="C16" s="20" t="s">
        <v>24</v>
      </c>
      <c r="D16" s="19">
        <f>'прил 16  вед стр 19г'!G530</f>
        <v>1148.01224</v>
      </c>
      <c r="E16" s="19">
        <f>'прил 16  вед стр 19г'!H530</f>
        <v>0</v>
      </c>
      <c r="F16" s="19">
        <f>'прил 16  вед стр 19г'!I530</f>
        <v>1148.01224</v>
      </c>
    </row>
    <row r="17" spans="1:6" s="15" customFormat="1" ht="12.75" x14ac:dyDescent="0.2">
      <c r="A17" s="18" t="s">
        <v>123</v>
      </c>
      <c r="B17" s="318" t="s">
        <v>200</v>
      </c>
      <c r="C17" s="319"/>
      <c r="D17" s="16">
        <f t="shared" ref="D17:F17" si="1">D18</f>
        <v>0</v>
      </c>
      <c r="E17" s="16">
        <f t="shared" si="1"/>
        <v>0</v>
      </c>
      <c r="F17" s="16">
        <f t="shared" si="1"/>
        <v>0</v>
      </c>
    </row>
    <row r="18" spans="1:6" s="13" customFormat="1" ht="16.5" customHeight="1" x14ac:dyDescent="0.2">
      <c r="A18" s="22" t="s">
        <v>199</v>
      </c>
      <c r="B18" s="21" t="s">
        <v>27</v>
      </c>
      <c r="C18" s="20" t="s">
        <v>6</v>
      </c>
      <c r="D18" s="19">
        <f>'прил 16  вед стр 19г'!G532</f>
        <v>0</v>
      </c>
      <c r="E18" s="19">
        <f>'прил 16  вед стр 19г'!H532</f>
        <v>0</v>
      </c>
      <c r="F18" s="19">
        <f>'прил 16  вед стр 19г'!I532</f>
        <v>0</v>
      </c>
    </row>
    <row r="19" spans="1:6" s="15" customFormat="1" ht="25.5" x14ac:dyDescent="0.2">
      <c r="A19" s="18" t="s">
        <v>122</v>
      </c>
      <c r="B19" s="318" t="s">
        <v>198</v>
      </c>
      <c r="C19" s="320"/>
      <c r="D19" s="16">
        <f t="shared" ref="D19" si="2">SUM(D21:D23)</f>
        <v>6232.0790999999999</v>
      </c>
      <c r="E19" s="16">
        <f>SUM(E21:E23)</f>
        <v>1359.1909999999998</v>
      </c>
      <c r="F19" s="16">
        <f>SUM(F21:F23)</f>
        <v>7591.2701000000006</v>
      </c>
    </row>
    <row r="20" spans="1:6" s="13" customFormat="1" ht="12.75" hidden="1" x14ac:dyDescent="0.2">
      <c r="A20" s="22" t="s">
        <v>197</v>
      </c>
      <c r="B20" s="21" t="s">
        <v>6</v>
      </c>
      <c r="C20" s="20" t="s">
        <v>27</v>
      </c>
      <c r="D20" s="72"/>
      <c r="E20" s="72"/>
      <c r="F20" s="72"/>
    </row>
    <row r="21" spans="1:6" s="13" customFormat="1" ht="38.25" customHeight="1" x14ac:dyDescent="0.2">
      <c r="A21" s="22" t="s">
        <v>196</v>
      </c>
      <c r="B21" s="21" t="s">
        <v>6</v>
      </c>
      <c r="C21" s="20" t="s">
        <v>67</v>
      </c>
      <c r="D21" s="19">
        <f>'прил 16  вед стр 19г'!G535</f>
        <v>5482.7933800000001</v>
      </c>
      <c r="E21" s="19">
        <f>'прил 16  вед стр 19г'!H535</f>
        <v>1197.4879999999998</v>
      </c>
      <c r="F21" s="19">
        <f>'прил 16  вед стр 19г'!I535</f>
        <v>6680.2813800000004</v>
      </c>
    </row>
    <row r="22" spans="1:6" s="247" customFormat="1" ht="12.75" x14ac:dyDescent="0.25">
      <c r="A22" s="73" t="s">
        <v>573</v>
      </c>
      <c r="B22" s="244" t="s">
        <v>6</v>
      </c>
      <c r="C22" s="245" t="s">
        <v>54</v>
      </c>
      <c r="D22" s="246">
        <f>'прил 16  вед стр 19г'!G536</f>
        <v>703.57142999999996</v>
      </c>
      <c r="E22" s="246">
        <f>'прил 16  вед стр 19г'!H536</f>
        <v>177.10300000000001</v>
      </c>
      <c r="F22" s="246">
        <f>'прил 16  вед стр 19г'!I536</f>
        <v>880.67443000000003</v>
      </c>
    </row>
    <row r="23" spans="1:6" s="13" customFormat="1" ht="26.25" customHeight="1" x14ac:dyDescent="0.2">
      <c r="A23" s="22" t="s">
        <v>116</v>
      </c>
      <c r="B23" s="21" t="s">
        <v>6</v>
      </c>
      <c r="C23" s="20" t="s">
        <v>7</v>
      </c>
      <c r="D23" s="19">
        <f>'прил 16  вед стр 19г'!G537</f>
        <v>45.714289999999998</v>
      </c>
      <c r="E23" s="19">
        <f>'прил 16  вед стр 19г'!H537</f>
        <v>-15.4</v>
      </c>
      <c r="F23" s="19">
        <f>'прил 16  вед стр 19г'!I537</f>
        <v>30.31429</v>
      </c>
    </row>
    <row r="24" spans="1:6" s="15" customFormat="1" ht="12.75" x14ac:dyDescent="0.2">
      <c r="A24" s="18" t="s">
        <v>111</v>
      </c>
      <c r="B24" s="318" t="s">
        <v>195</v>
      </c>
      <c r="C24" s="320"/>
      <c r="D24" s="16">
        <f t="shared" ref="D24" si="3">SUM(D26:D28)</f>
        <v>25001.577510000003</v>
      </c>
      <c r="E24" s="16">
        <f>SUM(E26:E28)</f>
        <v>3808.1800899999998</v>
      </c>
      <c r="F24" s="16">
        <f>SUM(F26:F28)</f>
        <v>28809.757599999997</v>
      </c>
    </row>
    <row r="25" spans="1:6" s="13" customFormat="1" ht="12.75" hidden="1" x14ac:dyDescent="0.2">
      <c r="A25" s="22" t="s">
        <v>194</v>
      </c>
      <c r="B25" s="21" t="s">
        <v>59</v>
      </c>
      <c r="C25" s="20" t="s">
        <v>15</v>
      </c>
      <c r="D25" s="72"/>
      <c r="E25" s="72"/>
      <c r="F25" s="72"/>
    </row>
    <row r="26" spans="1:6" s="13" customFormat="1" ht="15.75" customHeight="1" x14ac:dyDescent="0.2">
      <c r="A26" s="22" t="s">
        <v>110</v>
      </c>
      <c r="B26" s="21" t="s">
        <v>59</v>
      </c>
      <c r="C26" s="20" t="s">
        <v>36</v>
      </c>
      <c r="D26" s="19">
        <f>'прил 16  вед стр 19г'!G540</f>
        <v>1040.3</v>
      </c>
      <c r="E26" s="19">
        <f>'прил 16  вед стр 19г'!H540</f>
        <v>0</v>
      </c>
      <c r="F26" s="19">
        <f>'прил 16  вед стр 19г'!I540</f>
        <v>1040.3</v>
      </c>
    </row>
    <row r="27" spans="1:6" s="13" customFormat="1" ht="13.5" customHeight="1" x14ac:dyDescent="0.2">
      <c r="A27" s="22" t="s">
        <v>193</v>
      </c>
      <c r="B27" s="21" t="s">
        <v>59</v>
      </c>
      <c r="C27" s="20" t="s">
        <v>67</v>
      </c>
      <c r="D27" s="19">
        <f>'прил 16  вед стр 19г'!G541</f>
        <v>5551.8</v>
      </c>
      <c r="E27" s="19">
        <f>'прил 16  вед стр 19г'!H541</f>
        <v>50</v>
      </c>
      <c r="F27" s="19">
        <f>'прил 16  вед стр 19г'!I541</f>
        <v>5601.8</v>
      </c>
    </row>
    <row r="28" spans="1:6" s="13" customFormat="1" ht="18" customHeight="1" x14ac:dyDescent="0.2">
      <c r="A28" s="22" t="s">
        <v>192</v>
      </c>
      <c r="B28" s="21" t="s">
        <v>59</v>
      </c>
      <c r="C28" s="20" t="s">
        <v>28</v>
      </c>
      <c r="D28" s="19">
        <f>'прил 16  вед стр 19г'!G542</f>
        <v>18409.477510000001</v>
      </c>
      <c r="E28" s="19">
        <f>'прил 16  вед стр 19г'!H542</f>
        <v>3758.1800899999998</v>
      </c>
      <c r="F28" s="19">
        <f>'прил 16  вед стр 19г'!I542</f>
        <v>22167.657599999999</v>
      </c>
    </row>
    <row r="29" spans="1:6" s="15" customFormat="1" ht="16.5" customHeight="1" x14ac:dyDescent="0.2">
      <c r="A29" s="18" t="s">
        <v>191</v>
      </c>
      <c r="B29" s="306" t="s">
        <v>190</v>
      </c>
      <c r="C29" s="307"/>
      <c r="D29" s="16">
        <f t="shared" ref="D29" si="4">SUM(D30:D32)</f>
        <v>20149.076359999999</v>
      </c>
      <c r="E29" s="16">
        <f>SUM(E30:E32)</f>
        <v>1284.5999999999999</v>
      </c>
      <c r="F29" s="16">
        <f>SUM(F30:F32)</f>
        <v>21433.676359999998</v>
      </c>
    </row>
    <row r="30" spans="1:6" s="13" customFormat="1" ht="12.75" x14ac:dyDescent="0.2">
      <c r="A30" s="22" t="s">
        <v>99</v>
      </c>
      <c r="B30" s="21" t="s">
        <v>36</v>
      </c>
      <c r="C30" s="20" t="s">
        <v>15</v>
      </c>
      <c r="D30" s="19">
        <f>'прил 16  вед стр 19г'!G544</f>
        <v>11</v>
      </c>
      <c r="E30" s="19">
        <f>'прил 16  вед стр 19г'!H544</f>
        <v>0</v>
      </c>
      <c r="F30" s="19">
        <f>'прил 16  вед стр 19г'!I544</f>
        <v>11</v>
      </c>
    </row>
    <row r="31" spans="1:6" s="13" customFormat="1" ht="12.75" x14ac:dyDescent="0.2">
      <c r="A31" s="22" t="s">
        <v>98</v>
      </c>
      <c r="B31" s="21" t="s">
        <v>36</v>
      </c>
      <c r="C31" s="20" t="s">
        <v>27</v>
      </c>
      <c r="D31" s="19">
        <f>'прил 16  вед стр 19г'!G545</f>
        <v>19460.256359999999</v>
      </c>
      <c r="E31" s="19">
        <f>'прил 16  вед стр 19г'!H545</f>
        <v>1284.5999999999999</v>
      </c>
      <c r="F31" s="19">
        <f>'прил 16  вед стр 19г'!I545</f>
        <v>20744.856359999998</v>
      </c>
    </row>
    <row r="32" spans="1:6" s="13" customFormat="1" ht="12.75" x14ac:dyDescent="0.2">
      <c r="A32" s="22" t="s">
        <v>189</v>
      </c>
      <c r="B32" s="21" t="s">
        <v>36</v>
      </c>
      <c r="C32" s="20" t="s">
        <v>6</v>
      </c>
      <c r="D32" s="19">
        <f>'прил 16  вед стр 19г'!G546</f>
        <v>677.82</v>
      </c>
      <c r="E32" s="19">
        <f>'прил 16  вед стр 19г'!H546</f>
        <v>0</v>
      </c>
      <c r="F32" s="19">
        <f>'прил 16  вед стр 19г'!I546</f>
        <v>677.82</v>
      </c>
    </row>
    <row r="33" spans="1:6" s="15" customFormat="1" ht="12.75" hidden="1" x14ac:dyDescent="0.2">
      <c r="A33" s="18" t="s">
        <v>188</v>
      </c>
      <c r="B33" s="306" t="s">
        <v>187</v>
      </c>
      <c r="C33" s="307"/>
      <c r="D33" s="16">
        <f>'прил 16  вед стр 19г'!G547</f>
        <v>0</v>
      </c>
      <c r="E33" s="16">
        <f>'прил 16  вед стр 19г'!H547</f>
        <v>0</v>
      </c>
      <c r="F33" s="16">
        <f>'прил 16  вед стр 19г'!I547</f>
        <v>0</v>
      </c>
    </row>
    <row r="34" spans="1:6" s="13" customFormat="1" ht="25.5" hidden="1" x14ac:dyDescent="0.2">
      <c r="A34" s="24" t="s">
        <v>186</v>
      </c>
      <c r="B34" s="21" t="s">
        <v>53</v>
      </c>
      <c r="C34" s="20" t="s">
        <v>36</v>
      </c>
      <c r="D34" s="19">
        <f>'прил 16  вед стр 19г'!G548</f>
        <v>0</v>
      </c>
      <c r="E34" s="19">
        <f>'прил 16  вед стр 19г'!H548</f>
        <v>0</v>
      </c>
      <c r="F34" s="19">
        <f>'прил 16  вед стр 19г'!I548</f>
        <v>0</v>
      </c>
    </row>
    <row r="35" spans="1:6" s="15" customFormat="1" ht="12.75" x14ac:dyDescent="0.2">
      <c r="A35" s="18" t="s">
        <v>185</v>
      </c>
      <c r="B35" s="306" t="s">
        <v>184</v>
      </c>
      <c r="C35" s="307"/>
      <c r="D35" s="16">
        <f t="shared" ref="D35" si="5">SUM(D36:D41)</f>
        <v>481712.27944000007</v>
      </c>
      <c r="E35" s="16">
        <f>SUM(E36:E41)</f>
        <v>27809.894470000007</v>
      </c>
      <c r="F35" s="16">
        <f>SUM(F36:F41)</f>
        <v>509522.17391000007</v>
      </c>
    </row>
    <row r="36" spans="1:6" s="13" customFormat="1" ht="12.75" x14ac:dyDescent="0.2">
      <c r="A36" s="22" t="s">
        <v>89</v>
      </c>
      <c r="B36" s="21" t="s">
        <v>79</v>
      </c>
      <c r="C36" s="20" t="s">
        <v>15</v>
      </c>
      <c r="D36" s="19">
        <f>'прил 16  вед стр 19г'!G550</f>
        <v>173117.03502000001</v>
      </c>
      <c r="E36" s="19">
        <f>'прил 16  вед стр 19г'!H550</f>
        <v>-1476.765459999991</v>
      </c>
      <c r="F36" s="19">
        <f>'прил 16  вед стр 19г'!I550</f>
        <v>171640.26956000002</v>
      </c>
    </row>
    <row r="37" spans="1:6" s="13" customFormat="1" ht="12.75" x14ac:dyDescent="0.2">
      <c r="A37" s="22" t="s">
        <v>88</v>
      </c>
      <c r="B37" s="21" t="s">
        <v>79</v>
      </c>
      <c r="C37" s="20" t="s">
        <v>27</v>
      </c>
      <c r="D37" s="19">
        <f>'прил 16  вед стр 19г'!G551</f>
        <v>260992.27542000002</v>
      </c>
      <c r="E37" s="19">
        <f>'прил 16  вед стр 19г'!H551</f>
        <v>28979.951559999998</v>
      </c>
      <c r="F37" s="19">
        <f>'прил 16  вед стр 19г'!I551</f>
        <v>289972.22698000004</v>
      </c>
    </row>
    <row r="38" spans="1:6" s="13" customFormat="1" ht="16.5" customHeight="1" x14ac:dyDescent="0.2">
      <c r="A38" s="4" t="s">
        <v>242</v>
      </c>
      <c r="B38" s="21" t="s">
        <v>79</v>
      </c>
      <c r="C38" s="20" t="s">
        <v>6</v>
      </c>
      <c r="D38" s="19">
        <f>'прил 16  вед стр 19г'!G552</f>
        <v>30417.709000000003</v>
      </c>
      <c r="E38" s="19">
        <f>'прил 16  вед стр 19г'!H552</f>
        <v>-100.00316000000007</v>
      </c>
      <c r="F38" s="19">
        <f>'прил 16  вед стр 19г'!I552</f>
        <v>30317.705840000002</v>
      </c>
    </row>
    <row r="39" spans="1:6" s="13" customFormat="1" ht="25.5" hidden="1" x14ac:dyDescent="0.2">
      <c r="A39" s="22" t="s">
        <v>183</v>
      </c>
      <c r="B39" s="21" t="s">
        <v>79</v>
      </c>
      <c r="C39" s="20" t="s">
        <v>36</v>
      </c>
      <c r="D39" s="19">
        <f>'прил 16  вед стр 19г'!G553</f>
        <v>0</v>
      </c>
      <c r="E39" s="19">
        <f>'прил 16  вед стр 19г'!H553</f>
        <v>0</v>
      </c>
      <c r="F39" s="19">
        <f>'прил 16  вед стр 19г'!I553</f>
        <v>0</v>
      </c>
    </row>
    <row r="40" spans="1:6" s="13" customFormat="1" ht="18" customHeight="1" x14ac:dyDescent="0.2">
      <c r="A40" s="22" t="s">
        <v>84</v>
      </c>
      <c r="B40" s="21" t="s">
        <v>79</v>
      </c>
      <c r="C40" s="20" t="s">
        <v>79</v>
      </c>
      <c r="D40" s="19">
        <f>'прил 16  вед стр 19г'!G554</f>
        <v>1481.5</v>
      </c>
      <c r="E40" s="19">
        <f>'прил 16  вед стр 19г'!H554</f>
        <v>0</v>
      </c>
      <c r="F40" s="19">
        <f>'прил 16  вед стр 19г'!I554</f>
        <v>1481.5</v>
      </c>
    </row>
    <row r="41" spans="1:6" s="13" customFormat="1" ht="16.5" customHeight="1" x14ac:dyDescent="0.2">
      <c r="A41" s="22" t="s">
        <v>83</v>
      </c>
      <c r="B41" s="21" t="s">
        <v>79</v>
      </c>
      <c r="C41" s="20" t="s">
        <v>67</v>
      </c>
      <c r="D41" s="19">
        <f>'прил 16  вед стр 19г'!G555</f>
        <v>15703.760000000002</v>
      </c>
      <c r="E41" s="19">
        <f>'прил 16  вед стр 19г'!H555</f>
        <v>406.71152999999998</v>
      </c>
      <c r="F41" s="19">
        <f>'прил 16  вед стр 19г'!I555</f>
        <v>16110.471529999999</v>
      </c>
    </row>
    <row r="42" spans="1:6" s="15" customFormat="1" ht="12.75" x14ac:dyDescent="0.2">
      <c r="A42" s="18" t="s">
        <v>182</v>
      </c>
      <c r="B42" s="306" t="s">
        <v>181</v>
      </c>
      <c r="C42" s="307"/>
      <c r="D42" s="16">
        <f t="shared" ref="D42" si="6">SUM(D43:D44)</f>
        <v>54351.987939999999</v>
      </c>
      <c r="E42" s="16">
        <f>SUM(E43:E44)</f>
        <v>919.30869999999959</v>
      </c>
      <c r="F42" s="16">
        <f>SUM(F43:F44)</f>
        <v>55271.29664</v>
      </c>
    </row>
    <row r="43" spans="1:6" s="13" customFormat="1" ht="12.75" x14ac:dyDescent="0.2">
      <c r="A43" s="22" t="s">
        <v>77</v>
      </c>
      <c r="B43" s="21" t="s">
        <v>72</v>
      </c>
      <c r="C43" s="20" t="s">
        <v>15</v>
      </c>
      <c r="D43" s="19">
        <f>'прил 16  вед стр 19г'!G557</f>
        <v>51032.773939999999</v>
      </c>
      <c r="E43" s="19">
        <f>'прил 16  вед стр 19г'!H557</f>
        <v>-4287.892890000001</v>
      </c>
      <c r="F43" s="19">
        <f>'прил 16  вед стр 19г'!I557</f>
        <v>46744.881050000004</v>
      </c>
    </row>
    <row r="44" spans="1:6" s="13" customFormat="1" ht="15.75" customHeight="1" x14ac:dyDescent="0.2">
      <c r="A44" s="22" t="s">
        <v>180</v>
      </c>
      <c r="B44" s="21" t="s">
        <v>72</v>
      </c>
      <c r="C44" s="20" t="s">
        <v>59</v>
      </c>
      <c r="D44" s="19">
        <f>'прил 16  вед стр 19г'!G558</f>
        <v>3319.2139999999999</v>
      </c>
      <c r="E44" s="19">
        <f>'прил 16  вед стр 19г'!H558</f>
        <v>5207.2015900000006</v>
      </c>
      <c r="F44" s="19">
        <f>'прил 16  вед стр 19г'!I558</f>
        <v>8526.4155900000005</v>
      </c>
    </row>
    <row r="45" spans="1:6" s="15" customFormat="1" ht="12.75" x14ac:dyDescent="0.2">
      <c r="A45" s="18" t="s">
        <v>179</v>
      </c>
      <c r="B45" s="306" t="s">
        <v>178</v>
      </c>
      <c r="C45" s="307"/>
      <c r="D45" s="16">
        <f t="shared" ref="D45" si="7">D49+D46</f>
        <v>0</v>
      </c>
      <c r="E45" s="16">
        <f>E49+E46</f>
        <v>0</v>
      </c>
      <c r="F45" s="16">
        <f>F49+F46</f>
        <v>0</v>
      </c>
    </row>
    <row r="46" spans="1:6" s="13" customFormat="1" ht="12.75" hidden="1" x14ac:dyDescent="0.2">
      <c r="A46" s="22" t="s">
        <v>71</v>
      </c>
      <c r="B46" s="21" t="s">
        <v>67</v>
      </c>
      <c r="C46" s="20" t="s">
        <v>15</v>
      </c>
      <c r="D46" s="72"/>
      <c r="E46" s="72"/>
      <c r="F46" s="72"/>
    </row>
    <row r="47" spans="1:6" s="13" customFormat="1" ht="12.75" hidden="1" x14ac:dyDescent="0.2">
      <c r="A47" s="22" t="s">
        <v>177</v>
      </c>
      <c r="B47" s="21" t="s">
        <v>67</v>
      </c>
      <c r="C47" s="20" t="s">
        <v>27</v>
      </c>
      <c r="D47" s="72"/>
      <c r="E47" s="72"/>
      <c r="F47" s="72"/>
    </row>
    <row r="48" spans="1:6" s="13" customFormat="1" ht="12.75" hidden="1" x14ac:dyDescent="0.2">
      <c r="A48" s="22" t="s">
        <v>176</v>
      </c>
      <c r="B48" s="21" t="s">
        <v>67</v>
      </c>
      <c r="C48" s="20" t="s">
        <v>59</v>
      </c>
      <c r="D48" s="72"/>
      <c r="E48" s="72"/>
      <c r="F48" s="72"/>
    </row>
    <row r="49" spans="1:6" s="13" customFormat="1" ht="18" customHeight="1" x14ac:dyDescent="0.2">
      <c r="A49" s="22" t="s">
        <v>68</v>
      </c>
      <c r="B49" s="21" t="s">
        <v>67</v>
      </c>
      <c r="C49" s="20" t="s">
        <v>67</v>
      </c>
      <c r="D49" s="19">
        <f>'прил 16  вед стр 19г'!G563</f>
        <v>0</v>
      </c>
      <c r="E49" s="19">
        <f>'прил 16  вед стр 19г'!H563</f>
        <v>0</v>
      </c>
      <c r="F49" s="19">
        <f>'прил 16  вед стр 19г'!I563</f>
        <v>0</v>
      </c>
    </row>
    <row r="50" spans="1:6" s="15" customFormat="1" ht="12.75" x14ac:dyDescent="0.2">
      <c r="A50" s="18" t="s">
        <v>66</v>
      </c>
      <c r="B50" s="306" t="s">
        <v>175</v>
      </c>
      <c r="C50" s="307"/>
      <c r="D50" s="16">
        <f t="shared" ref="D50" si="8">SUM(D51:D55)</f>
        <v>10655.43849</v>
      </c>
      <c r="E50" s="16">
        <f>SUM(E51:E55)</f>
        <v>210.46032000000002</v>
      </c>
      <c r="F50" s="16">
        <f>SUM(F51:F55)</f>
        <v>10865.898809999999</v>
      </c>
    </row>
    <row r="51" spans="1:6" s="13" customFormat="1" ht="12.75" x14ac:dyDescent="0.2">
      <c r="A51" s="22" t="s">
        <v>65</v>
      </c>
      <c r="B51" s="21" t="s">
        <v>54</v>
      </c>
      <c r="C51" s="20" t="s">
        <v>15</v>
      </c>
      <c r="D51" s="19">
        <f>'прил 16  вед стр 19г'!G565</f>
        <v>720.73</v>
      </c>
      <c r="E51" s="19">
        <f>'прил 16  вед стр 19г'!H565</f>
        <v>0</v>
      </c>
      <c r="F51" s="19">
        <f>'прил 16  вед стр 19г'!I565</f>
        <v>720.73</v>
      </c>
    </row>
    <row r="52" spans="1:6" s="13" customFormat="1" ht="12.75" hidden="1" x14ac:dyDescent="0.2">
      <c r="A52" s="22" t="s">
        <v>174</v>
      </c>
      <c r="B52" s="21" t="s">
        <v>54</v>
      </c>
      <c r="C52" s="20" t="s">
        <v>27</v>
      </c>
      <c r="D52" s="19">
        <f>'прил 16  вед стр 19г'!G566</f>
        <v>0</v>
      </c>
      <c r="E52" s="19">
        <f>'прил 16  вед стр 19г'!H566</f>
        <v>0</v>
      </c>
      <c r="F52" s="19">
        <f>'прил 16  вед стр 19г'!I566</f>
        <v>0</v>
      </c>
    </row>
    <row r="53" spans="1:6" s="13" customFormat="1" ht="12" customHeight="1" x14ac:dyDescent="0.2">
      <c r="A53" s="22" t="s">
        <v>173</v>
      </c>
      <c r="B53" s="21" t="s">
        <v>54</v>
      </c>
      <c r="C53" s="20" t="s">
        <v>6</v>
      </c>
      <c r="D53" s="19">
        <f>'прил 16  вед стр 19г'!G567</f>
        <v>4819.8084900000003</v>
      </c>
      <c r="E53" s="19">
        <f>'прил 16  вед стр 19г'!H567</f>
        <v>150.66032000000001</v>
      </c>
      <c r="F53" s="19">
        <f>'прил 16  вед стр 19г'!I567</f>
        <v>4970.4688100000003</v>
      </c>
    </row>
    <row r="54" spans="1:6" s="13" customFormat="1" ht="12.75" x14ac:dyDescent="0.2">
      <c r="A54" s="22" t="s">
        <v>172</v>
      </c>
      <c r="B54" s="21" t="s">
        <v>54</v>
      </c>
      <c r="C54" s="20" t="s">
        <v>59</v>
      </c>
      <c r="D54" s="19">
        <f>'прил 16  вед стр 19г'!G568</f>
        <v>5054.8999999999996</v>
      </c>
      <c r="E54" s="19">
        <f>'прил 16  вед стр 19г'!H568</f>
        <v>0</v>
      </c>
      <c r="F54" s="19">
        <f>'прил 16  вед стр 19г'!I568</f>
        <v>5054.8999999999996</v>
      </c>
    </row>
    <row r="55" spans="1:6" s="13" customFormat="1" ht="14.25" customHeight="1" x14ac:dyDescent="0.2">
      <c r="A55" s="22" t="s">
        <v>58</v>
      </c>
      <c r="B55" s="21" t="s">
        <v>54</v>
      </c>
      <c r="C55" s="20" t="s">
        <v>53</v>
      </c>
      <c r="D55" s="19">
        <f>'прил 16  вед стр 19г'!G569</f>
        <v>60</v>
      </c>
      <c r="E55" s="19">
        <f>'прил 16  вед стр 19г'!H569</f>
        <v>59.8</v>
      </c>
      <c r="F55" s="19">
        <f>'прил 16  вед стр 19г'!I569</f>
        <v>119.8</v>
      </c>
    </row>
    <row r="56" spans="1:6" s="15" customFormat="1" ht="12.75" x14ac:dyDescent="0.2">
      <c r="A56" s="18" t="s">
        <v>50</v>
      </c>
      <c r="B56" s="306" t="s">
        <v>171</v>
      </c>
      <c r="C56" s="307"/>
      <c r="D56" s="16">
        <f t="shared" ref="D56" si="9">D57+D58</f>
        <v>630</v>
      </c>
      <c r="E56" s="16">
        <f>E57+E58</f>
        <v>464</v>
      </c>
      <c r="F56" s="16">
        <f>F57+F58</f>
        <v>1094</v>
      </c>
    </row>
    <row r="57" spans="1:6" s="13" customFormat="1" ht="12.75" x14ac:dyDescent="0.2">
      <c r="A57" s="22" t="s">
        <v>170</v>
      </c>
      <c r="B57" s="21" t="s">
        <v>37</v>
      </c>
      <c r="C57" s="20" t="s">
        <v>15</v>
      </c>
      <c r="D57" s="19">
        <f>'прил 16  вед стр 19г'!G571</f>
        <v>630</v>
      </c>
      <c r="E57" s="19">
        <f>'прил 16  вед стр 19г'!H571</f>
        <v>464</v>
      </c>
      <c r="F57" s="19">
        <f>'прил 16  вед стр 19г'!I571</f>
        <v>1094</v>
      </c>
    </row>
    <row r="58" spans="1:6" s="13" customFormat="1" ht="25.5" x14ac:dyDescent="0.2">
      <c r="A58" s="22" t="s">
        <v>42</v>
      </c>
      <c r="B58" s="23" t="s">
        <v>37</v>
      </c>
      <c r="C58" s="21" t="s">
        <v>36</v>
      </c>
      <c r="D58" s="19">
        <f>'прил 16  вед стр 19г'!G572</f>
        <v>0</v>
      </c>
      <c r="E58" s="19">
        <f>'прил 16  вед стр 19г'!H572</f>
        <v>0</v>
      </c>
      <c r="F58" s="19">
        <f>'прил 16  вед стр 19г'!I572</f>
        <v>0</v>
      </c>
    </row>
    <row r="59" spans="1:6" s="15" customFormat="1" ht="12" customHeight="1" x14ac:dyDescent="0.2">
      <c r="A59" s="18" t="s">
        <v>33</v>
      </c>
      <c r="B59" s="306" t="s">
        <v>169</v>
      </c>
      <c r="C59" s="307"/>
      <c r="D59" s="16">
        <f t="shared" ref="D59:F59" si="10">D60</f>
        <v>1300.4059999999999</v>
      </c>
      <c r="E59" s="16">
        <f t="shared" si="10"/>
        <v>0</v>
      </c>
      <c r="F59" s="16">
        <f t="shared" si="10"/>
        <v>1300.4059999999999</v>
      </c>
    </row>
    <row r="60" spans="1:6" s="13" customFormat="1" ht="16.5" customHeight="1" x14ac:dyDescent="0.2">
      <c r="A60" s="22" t="s">
        <v>32</v>
      </c>
      <c r="B60" s="21" t="s">
        <v>28</v>
      </c>
      <c r="C60" s="20" t="s">
        <v>27</v>
      </c>
      <c r="D60" s="19">
        <f>'прил 16  вед стр 19г'!G574</f>
        <v>1300.4059999999999</v>
      </c>
      <c r="E60" s="19">
        <f>'прил 16  вед стр 19г'!H574</f>
        <v>0</v>
      </c>
      <c r="F60" s="19">
        <f>'прил 16  вед стр 19г'!I574</f>
        <v>1300.4059999999999</v>
      </c>
    </row>
    <row r="61" spans="1:6" s="15" customFormat="1" ht="27" customHeight="1" x14ac:dyDescent="0.2">
      <c r="A61" s="18" t="s">
        <v>168</v>
      </c>
      <c r="B61" s="306" t="s">
        <v>167</v>
      </c>
      <c r="C61" s="307"/>
      <c r="D61" s="16">
        <f t="shared" ref="D61:F61" si="11">SUM(D62)</f>
        <v>98</v>
      </c>
      <c r="E61" s="16">
        <f t="shared" si="11"/>
        <v>0</v>
      </c>
      <c r="F61" s="16">
        <f t="shared" si="11"/>
        <v>98</v>
      </c>
    </row>
    <row r="62" spans="1:6" s="13" customFormat="1" ht="27.75" customHeight="1" x14ac:dyDescent="0.2">
      <c r="A62" s="22" t="s">
        <v>25</v>
      </c>
      <c r="B62" s="21" t="s">
        <v>24</v>
      </c>
      <c r="C62" s="20" t="s">
        <v>15</v>
      </c>
      <c r="D62" s="19">
        <f>'прил 16  вед стр 19г'!G576</f>
        <v>98</v>
      </c>
      <c r="E62" s="19">
        <f>'прил 16  вед стр 19г'!H576</f>
        <v>0</v>
      </c>
      <c r="F62" s="19">
        <f>'прил 16  вед стр 19г'!I576</f>
        <v>98</v>
      </c>
    </row>
    <row r="63" spans="1:6" s="15" customFormat="1" ht="26.25" customHeight="1" x14ac:dyDescent="0.2">
      <c r="A63" s="18" t="s">
        <v>166</v>
      </c>
      <c r="B63" s="306" t="s">
        <v>165</v>
      </c>
      <c r="C63" s="307"/>
      <c r="D63" s="16">
        <f t="shared" ref="D63" si="12">SUM(D64:D65)</f>
        <v>36825.599999999999</v>
      </c>
      <c r="E63" s="16">
        <f>SUM(E64:E65)</f>
        <v>0</v>
      </c>
      <c r="F63" s="16">
        <f>SUM(F64:F65)</f>
        <v>36825.599999999999</v>
      </c>
    </row>
    <row r="64" spans="1:6" s="13" customFormat="1" ht="29.25" customHeight="1" x14ac:dyDescent="0.2">
      <c r="A64" s="22" t="s">
        <v>164</v>
      </c>
      <c r="B64" s="21" t="s">
        <v>7</v>
      </c>
      <c r="C64" s="20" t="s">
        <v>15</v>
      </c>
      <c r="D64" s="19">
        <f>'прил 16  вед стр 19г'!G578</f>
        <v>25963.5</v>
      </c>
      <c r="E64" s="19">
        <f>'прил 16  вед стр 19г'!H578</f>
        <v>0</v>
      </c>
      <c r="F64" s="19">
        <f>'прил 16  вед стр 19г'!I578</f>
        <v>25963.5</v>
      </c>
    </row>
    <row r="65" spans="1:6" s="13" customFormat="1" ht="26.25" customHeight="1" x14ac:dyDescent="0.2">
      <c r="A65" s="22" t="s">
        <v>163</v>
      </c>
      <c r="B65" s="21" t="s">
        <v>7</v>
      </c>
      <c r="C65" s="20" t="s">
        <v>6</v>
      </c>
      <c r="D65" s="19">
        <f>'прил 16  вед стр 19г'!G579</f>
        <v>10862.1</v>
      </c>
      <c r="E65" s="19">
        <f>'прил 16  вед стр 19г'!H579</f>
        <v>0</v>
      </c>
      <c r="F65" s="19">
        <f>'прил 16  вед стр 19г'!I579</f>
        <v>10862.1</v>
      </c>
    </row>
    <row r="66" spans="1:6" s="15" customFormat="1" ht="12.75" hidden="1" x14ac:dyDescent="0.2">
      <c r="A66" s="54" t="s">
        <v>224</v>
      </c>
      <c r="B66" s="63" t="s">
        <v>225</v>
      </c>
      <c r="C66" s="17" t="s">
        <v>225</v>
      </c>
      <c r="D66" s="71">
        <f>'прил 16  вед стр 19г'!G580</f>
        <v>0</v>
      </c>
      <c r="E66" s="71">
        <f>'прил 16  вед стр 19г'!H580</f>
        <v>0</v>
      </c>
      <c r="F66" s="71">
        <f>'прил 16  вед стр 19г'!I580</f>
        <v>0</v>
      </c>
    </row>
    <row r="67" spans="1:6" s="15" customFormat="1" ht="12.75" x14ac:dyDescent="0.2">
      <c r="A67" s="18" t="s">
        <v>162</v>
      </c>
      <c r="B67" s="63"/>
      <c r="C67" s="17"/>
      <c r="D67" s="16">
        <f t="shared" ref="D67:E67" si="13">D8+D17+D19+D24+D29+D35+D42+D45+D50+D56+D59+D61+D63+D66+D33</f>
        <v>667958.89795000001</v>
      </c>
      <c r="E67" s="16">
        <f t="shared" si="13"/>
        <v>32547.128330000007</v>
      </c>
      <c r="F67" s="16">
        <f>F8+F17+F19+F24+F29+F35+F42+F45+F50+F56+F59+F61+F63+F66+F33</f>
        <v>700506.02627999999</v>
      </c>
    </row>
    <row r="68" spans="1:6" s="13" customFormat="1" ht="12.75" x14ac:dyDescent="0.2">
      <c r="A68" s="12"/>
      <c r="C68" s="14"/>
      <c r="D68" s="100">
        <v>667958.89795000001</v>
      </c>
      <c r="E68" s="101">
        <v>32547.12833</v>
      </c>
      <c r="F68" s="101">
        <f>D68+E68</f>
        <v>700506.02627999999</v>
      </c>
    </row>
    <row r="69" spans="1:6" s="13" customFormat="1" ht="12.75" x14ac:dyDescent="0.2">
      <c r="A69" s="12"/>
      <c r="C69" s="14"/>
      <c r="D69" s="104">
        <f>D68-D67</f>
        <v>0</v>
      </c>
      <c r="E69" s="104">
        <f t="shared" ref="E69:F69" si="14">E68-E67</f>
        <v>0</v>
      </c>
      <c r="F69" s="104">
        <f t="shared" si="14"/>
        <v>0</v>
      </c>
    </row>
    <row r="70" spans="1:6" s="13" customFormat="1" ht="12.75" x14ac:dyDescent="0.2">
      <c r="A70" s="12"/>
      <c r="C70" s="14"/>
    </row>
  </sheetData>
  <mergeCells count="19">
    <mergeCell ref="A5:F5"/>
    <mergeCell ref="A4:F4"/>
    <mergeCell ref="C2:F2"/>
    <mergeCell ref="C1:F1"/>
    <mergeCell ref="B35:C35"/>
    <mergeCell ref="B7:C7"/>
    <mergeCell ref="B8:C8"/>
    <mergeCell ref="B17:C17"/>
    <mergeCell ref="B19:C19"/>
    <mergeCell ref="B24:C24"/>
    <mergeCell ref="B29:C29"/>
    <mergeCell ref="B33:C33"/>
    <mergeCell ref="B63:C63"/>
    <mergeCell ref="B42:C42"/>
    <mergeCell ref="B45:C45"/>
    <mergeCell ref="B50:C50"/>
    <mergeCell ref="B56:C56"/>
    <mergeCell ref="B59:C59"/>
    <mergeCell ref="B61:C61"/>
  </mergeCells>
  <pageMargins left="0.9055118110236221" right="0" top="0" bottom="0" header="0" footer="0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"/>
  <sheetViews>
    <sheetView view="pageBreakPreview" topLeftCell="A334" zoomScaleNormal="100" zoomScaleSheetLayoutView="100" workbookViewId="0">
      <selection activeCell="C61" sqref="C61"/>
    </sheetView>
  </sheetViews>
  <sheetFormatPr defaultRowHeight="12.75" x14ac:dyDescent="0.2"/>
  <cols>
    <col min="1" max="1" width="54.42578125" style="29" customWidth="1"/>
    <col min="2" max="2" width="16" style="28" customWidth="1"/>
    <col min="3" max="3" width="7.85546875" style="28" customWidth="1"/>
    <col min="4" max="4" width="13.7109375" style="61" customWidth="1"/>
    <col min="5" max="5" width="14" style="61" customWidth="1"/>
    <col min="6" max="6" width="13.7109375" style="61" customWidth="1"/>
    <col min="7" max="16384" width="9.140625" style="28"/>
  </cols>
  <sheetData>
    <row r="1" spans="1:9" ht="15" x14ac:dyDescent="0.25">
      <c r="B1" s="42"/>
      <c r="C1" s="42"/>
      <c r="D1" s="322" t="s">
        <v>595</v>
      </c>
      <c r="E1" s="322"/>
      <c r="F1" s="322"/>
      <c r="G1" s="321"/>
      <c r="H1" s="321"/>
      <c r="I1" s="321"/>
    </row>
    <row r="2" spans="1:9" s="41" customFormat="1" ht="62.25" customHeight="1" x14ac:dyDescent="0.25">
      <c r="A2" s="52"/>
      <c r="B2" s="51"/>
      <c r="C2" s="53"/>
      <c r="D2" s="371" t="s">
        <v>661</v>
      </c>
      <c r="E2" s="305"/>
      <c r="F2" s="305"/>
      <c r="G2" s="291"/>
      <c r="H2" s="291"/>
      <c r="I2" s="291"/>
    </row>
    <row r="3" spans="1:9" s="41" customFormat="1" ht="57" customHeight="1" x14ac:dyDescent="0.25">
      <c r="A3" s="323" t="s">
        <v>606</v>
      </c>
      <c r="B3" s="324"/>
      <c r="C3" s="324"/>
      <c r="D3" s="325"/>
      <c r="E3" s="325"/>
      <c r="F3" s="325"/>
    </row>
    <row r="4" spans="1:9" x14ac:dyDescent="0.2">
      <c r="D4" s="58"/>
      <c r="E4" s="58"/>
      <c r="F4" s="58" t="s">
        <v>161</v>
      </c>
    </row>
    <row r="5" spans="1:9" s="36" customFormat="1" x14ac:dyDescent="0.2">
      <c r="A5" s="333" t="s">
        <v>220</v>
      </c>
      <c r="B5" s="326" t="s">
        <v>351</v>
      </c>
      <c r="C5" s="327"/>
      <c r="D5" s="330" t="s">
        <v>621</v>
      </c>
      <c r="E5" s="336" t="s">
        <v>250</v>
      </c>
      <c r="F5" s="330" t="s">
        <v>622</v>
      </c>
    </row>
    <row r="6" spans="1:9" s="36" customFormat="1" x14ac:dyDescent="0.2">
      <c r="A6" s="334"/>
      <c r="B6" s="328"/>
      <c r="C6" s="329"/>
      <c r="D6" s="331"/>
      <c r="E6" s="337"/>
      <c r="F6" s="331"/>
    </row>
    <row r="7" spans="1:9" s="36" customFormat="1" ht="25.5" x14ac:dyDescent="0.2">
      <c r="A7" s="335"/>
      <c r="B7" s="40" t="s">
        <v>158</v>
      </c>
      <c r="C7" s="40" t="s">
        <v>217</v>
      </c>
      <c r="D7" s="332"/>
      <c r="E7" s="338"/>
      <c r="F7" s="332"/>
    </row>
    <row r="8" spans="1:9" s="37" customFormat="1" ht="11.25" x14ac:dyDescent="0.25">
      <c r="A8" s="39">
        <v>1</v>
      </c>
      <c r="B8" s="39">
        <v>2</v>
      </c>
      <c r="C8" s="39">
        <v>3</v>
      </c>
      <c r="D8" s="38">
        <v>4</v>
      </c>
      <c r="E8" s="38">
        <v>5</v>
      </c>
      <c r="F8" s="38">
        <v>6</v>
      </c>
    </row>
    <row r="9" spans="1:9" ht="60" x14ac:dyDescent="0.2">
      <c r="A9" s="4" t="s">
        <v>261</v>
      </c>
      <c r="B9" s="3" t="s">
        <v>145</v>
      </c>
      <c r="C9" s="3"/>
      <c r="D9" s="264">
        <f>D10+D16</f>
        <v>11651.85787</v>
      </c>
      <c r="E9" s="264">
        <f t="shared" ref="E9:F9" si="0">E10+E16</f>
        <v>2490.2507900000001</v>
      </c>
      <c r="F9" s="264">
        <f t="shared" si="0"/>
        <v>14142.10866</v>
      </c>
    </row>
    <row r="10" spans="1:9" ht="24" x14ac:dyDescent="0.2">
      <c r="A10" s="4" t="s">
        <v>260</v>
      </c>
      <c r="B10" s="3" t="s">
        <v>262</v>
      </c>
      <c r="C10" s="3"/>
      <c r="D10" s="264">
        <f>D11+D13</f>
        <v>10885.48047</v>
      </c>
      <c r="E10" s="264">
        <f>E11+E13</f>
        <v>2983.8810600000002</v>
      </c>
      <c r="F10" s="264">
        <f>F11+F13</f>
        <v>13869.36153</v>
      </c>
    </row>
    <row r="11" spans="1:9" ht="24" x14ac:dyDescent="0.2">
      <c r="A11" s="4" t="s">
        <v>144</v>
      </c>
      <c r="B11" s="3" t="s">
        <v>143</v>
      </c>
      <c r="C11" s="3"/>
      <c r="D11" s="264">
        <f t="shared" ref="D11:F11" si="1">D12</f>
        <v>10185.490470000001</v>
      </c>
      <c r="E11" s="264">
        <f t="shared" si="1"/>
        <v>2983.8810600000002</v>
      </c>
      <c r="F11" s="264">
        <f t="shared" si="1"/>
        <v>13169.37153</v>
      </c>
    </row>
    <row r="12" spans="1:9" ht="48" x14ac:dyDescent="0.2">
      <c r="A12" s="4" t="s">
        <v>38</v>
      </c>
      <c r="B12" s="3" t="s">
        <v>143</v>
      </c>
      <c r="C12" s="3" t="s">
        <v>34</v>
      </c>
      <c r="D12" s="60">
        <v>10185.490470000001</v>
      </c>
      <c r="E12" s="264">
        <f>2291.76706+692.114</f>
        <v>2983.8810600000002</v>
      </c>
      <c r="F12" s="60">
        <f>D12+E12</f>
        <v>13169.37153</v>
      </c>
    </row>
    <row r="13" spans="1:9" ht="24" x14ac:dyDescent="0.2">
      <c r="A13" s="4" t="s">
        <v>142</v>
      </c>
      <c r="B13" s="3" t="s">
        <v>141</v>
      </c>
      <c r="C13" s="3"/>
      <c r="D13" s="264">
        <f t="shared" ref="D13" si="2">D14+D15</f>
        <v>699.99</v>
      </c>
      <c r="E13" s="264">
        <f>E14+E15</f>
        <v>0</v>
      </c>
      <c r="F13" s="264">
        <f>F14+F15</f>
        <v>699.99</v>
      </c>
    </row>
    <row r="14" spans="1:9" ht="24" x14ac:dyDescent="0.2">
      <c r="A14" s="4" t="s">
        <v>47</v>
      </c>
      <c r="B14" s="3" t="s">
        <v>141</v>
      </c>
      <c r="C14" s="3" t="s">
        <v>51</v>
      </c>
      <c r="D14" s="60">
        <v>699.99</v>
      </c>
      <c r="E14" s="264"/>
      <c r="F14" s="60">
        <f>D14+E14</f>
        <v>699.99</v>
      </c>
    </row>
    <row r="15" spans="1:9" ht="24" x14ac:dyDescent="0.2">
      <c r="A15" s="4" t="s">
        <v>73</v>
      </c>
      <c r="B15" s="3" t="s">
        <v>141</v>
      </c>
      <c r="C15" s="3" t="s">
        <v>80</v>
      </c>
      <c r="D15" s="60"/>
      <c r="E15" s="264"/>
      <c r="F15" s="60">
        <f>D15+E15</f>
        <v>0</v>
      </c>
    </row>
    <row r="16" spans="1:9" x14ac:dyDescent="0.2">
      <c r="A16" s="4" t="s">
        <v>545</v>
      </c>
      <c r="B16" s="3" t="s">
        <v>557</v>
      </c>
      <c r="C16" s="3"/>
      <c r="D16" s="60">
        <f>D17</f>
        <v>766.37739999999997</v>
      </c>
      <c r="E16" s="60">
        <f t="shared" ref="E16:F16" si="3">E17</f>
        <v>-493.63027</v>
      </c>
      <c r="F16" s="60">
        <f t="shared" si="3"/>
        <v>272.74712999999997</v>
      </c>
    </row>
    <row r="17" spans="1:6" ht="48" x14ac:dyDescent="0.2">
      <c r="A17" s="4" t="s">
        <v>38</v>
      </c>
      <c r="B17" s="3" t="s">
        <v>557</v>
      </c>
      <c r="C17" s="3" t="s">
        <v>34</v>
      </c>
      <c r="D17" s="60">
        <v>766.37739999999997</v>
      </c>
      <c r="E17" s="264">
        <f>-379.13232-114.49795</f>
        <v>-493.63027</v>
      </c>
      <c r="F17" s="60">
        <f>D17+E17</f>
        <v>272.74712999999997</v>
      </c>
    </row>
    <row r="18" spans="1:6" ht="48" x14ac:dyDescent="0.2">
      <c r="A18" s="4" t="s">
        <v>268</v>
      </c>
      <c r="B18" s="3" t="s">
        <v>63</v>
      </c>
      <c r="C18" s="3"/>
      <c r="D18" s="265">
        <f t="shared" ref="D18" si="4">D19+D27</f>
        <v>12487.644209999999</v>
      </c>
      <c r="E18" s="265">
        <f>E19+E27</f>
        <v>0</v>
      </c>
      <c r="F18" s="265">
        <f>F19+F27</f>
        <v>12487.644209999999</v>
      </c>
    </row>
    <row r="19" spans="1:6" ht="24" x14ac:dyDescent="0.2">
      <c r="A19" s="4" t="s">
        <v>109</v>
      </c>
      <c r="B19" s="3" t="s">
        <v>282</v>
      </c>
      <c r="C19" s="3"/>
      <c r="D19" s="265">
        <f t="shared" ref="D19" si="5">D20+D23+D25</f>
        <v>1040.3</v>
      </c>
      <c r="E19" s="265">
        <f>E20+E23+E25</f>
        <v>0</v>
      </c>
      <c r="F19" s="265">
        <f>F20+F23+F25</f>
        <v>1040.3</v>
      </c>
    </row>
    <row r="20" spans="1:6" x14ac:dyDescent="0.2">
      <c r="A20" s="4" t="s">
        <v>283</v>
      </c>
      <c r="B20" s="3" t="s">
        <v>108</v>
      </c>
      <c r="C20" s="3"/>
      <c r="D20" s="265">
        <f t="shared" ref="D20" si="6">D21+D22</f>
        <v>490</v>
      </c>
      <c r="E20" s="265">
        <f>E21+E22</f>
        <v>0</v>
      </c>
      <c r="F20" s="265">
        <f>F21+F22</f>
        <v>490</v>
      </c>
    </row>
    <row r="21" spans="1:6" ht="24" x14ac:dyDescent="0.2">
      <c r="A21" s="4" t="s">
        <v>47</v>
      </c>
      <c r="B21" s="3" t="s">
        <v>108</v>
      </c>
      <c r="C21" s="3">
        <v>200</v>
      </c>
      <c r="D21" s="60">
        <v>290</v>
      </c>
      <c r="E21" s="265"/>
      <c r="F21" s="60">
        <f>D21+E21</f>
        <v>290</v>
      </c>
    </row>
    <row r="22" spans="1:6" ht="24" x14ac:dyDescent="0.2">
      <c r="A22" s="4" t="s">
        <v>73</v>
      </c>
      <c r="B22" s="3" t="s">
        <v>108</v>
      </c>
      <c r="C22" s="3" t="s">
        <v>80</v>
      </c>
      <c r="D22" s="60">
        <v>200</v>
      </c>
      <c r="E22" s="265"/>
      <c r="F22" s="60">
        <f>D22+E22</f>
        <v>200</v>
      </c>
    </row>
    <row r="23" spans="1:6" ht="72" x14ac:dyDescent="0.2">
      <c r="A23" s="4" t="s">
        <v>340</v>
      </c>
      <c r="B23" s="3" t="s">
        <v>107</v>
      </c>
      <c r="C23" s="3"/>
      <c r="D23" s="265">
        <f t="shared" ref="D23:F23" si="7">D24</f>
        <v>191.8</v>
      </c>
      <c r="E23" s="265">
        <f t="shared" si="7"/>
        <v>0</v>
      </c>
      <c r="F23" s="265">
        <f t="shared" si="7"/>
        <v>191.8</v>
      </c>
    </row>
    <row r="24" spans="1:6" ht="24" x14ac:dyDescent="0.2">
      <c r="A24" s="4" t="s">
        <v>47</v>
      </c>
      <c r="B24" s="3" t="s">
        <v>107</v>
      </c>
      <c r="C24" s="3" t="s">
        <v>51</v>
      </c>
      <c r="D24" s="60">
        <v>191.8</v>
      </c>
      <c r="E24" s="265"/>
      <c r="F24" s="60">
        <f>D24+E24</f>
        <v>191.8</v>
      </c>
    </row>
    <row r="25" spans="1:6" ht="36" x14ac:dyDescent="0.2">
      <c r="A25" s="4" t="s">
        <v>341</v>
      </c>
      <c r="B25" s="3" t="s">
        <v>106</v>
      </c>
      <c r="C25" s="3"/>
      <c r="D25" s="265">
        <f t="shared" ref="D25:F25" si="8">D26</f>
        <v>358.5</v>
      </c>
      <c r="E25" s="265">
        <f t="shared" si="8"/>
        <v>0</v>
      </c>
      <c r="F25" s="265">
        <f t="shared" si="8"/>
        <v>358.5</v>
      </c>
    </row>
    <row r="26" spans="1:6" ht="24" x14ac:dyDescent="0.2">
      <c r="A26" s="4" t="s">
        <v>47</v>
      </c>
      <c r="B26" s="3" t="s">
        <v>106</v>
      </c>
      <c r="C26" s="3" t="s">
        <v>51</v>
      </c>
      <c r="D26" s="60">
        <v>358.5</v>
      </c>
      <c r="E26" s="265"/>
      <c r="F26" s="60">
        <f>D26+E26</f>
        <v>358.5</v>
      </c>
    </row>
    <row r="27" spans="1:6" x14ac:dyDescent="0.2">
      <c r="A27" s="4" t="s">
        <v>87</v>
      </c>
      <c r="B27" s="3" t="s">
        <v>295</v>
      </c>
      <c r="C27" s="3"/>
      <c r="D27" s="265">
        <f>D28+D30</f>
        <v>11447.344209999999</v>
      </c>
      <c r="E27" s="265">
        <f t="shared" ref="E27:F27" si="9">E28+E30</f>
        <v>0</v>
      </c>
      <c r="F27" s="265">
        <f t="shared" si="9"/>
        <v>11447.344209999999</v>
      </c>
    </row>
    <row r="28" spans="1:6" ht="36" x14ac:dyDescent="0.2">
      <c r="A28" s="4" t="s">
        <v>419</v>
      </c>
      <c r="B28" s="3" t="s">
        <v>567</v>
      </c>
      <c r="C28" s="3"/>
      <c r="D28" s="240">
        <f t="shared" ref="D28:F28" si="10">D29</f>
        <v>7518.7965599999998</v>
      </c>
      <c r="E28" s="240">
        <f t="shared" si="10"/>
        <v>0</v>
      </c>
      <c r="F28" s="240">
        <f t="shared" si="10"/>
        <v>7518.7965599999998</v>
      </c>
    </row>
    <row r="29" spans="1:6" ht="24" x14ac:dyDescent="0.2">
      <c r="A29" s="4" t="s">
        <v>70</v>
      </c>
      <c r="B29" s="3" t="s">
        <v>567</v>
      </c>
      <c r="C29" s="3">
        <v>400</v>
      </c>
      <c r="D29" s="60">
        <v>7518.7965599999998</v>
      </c>
      <c r="E29" s="240"/>
      <c r="F29" s="60">
        <f>D29+E29</f>
        <v>7518.7965599999998</v>
      </c>
    </row>
    <row r="30" spans="1:6" s="31" customFormat="1" ht="60" x14ac:dyDescent="0.2">
      <c r="A30" s="4" t="s">
        <v>240</v>
      </c>
      <c r="B30" s="3" t="s">
        <v>560</v>
      </c>
      <c r="C30" s="3"/>
      <c r="D30" s="265">
        <f t="shared" ref="D30:F30" si="11">D31</f>
        <v>3928.54765</v>
      </c>
      <c r="E30" s="265">
        <f t="shared" si="11"/>
        <v>0</v>
      </c>
      <c r="F30" s="265">
        <f t="shared" si="11"/>
        <v>3928.54765</v>
      </c>
    </row>
    <row r="31" spans="1:6" s="31" customFormat="1" x14ac:dyDescent="0.2">
      <c r="A31" s="4" t="s">
        <v>45</v>
      </c>
      <c r="B31" s="3" t="s">
        <v>560</v>
      </c>
      <c r="C31" s="3" t="s">
        <v>43</v>
      </c>
      <c r="D31" s="60">
        <v>3928.54765</v>
      </c>
      <c r="E31" s="265"/>
      <c r="F31" s="60">
        <f>D31+E31</f>
        <v>3928.54765</v>
      </c>
    </row>
    <row r="32" spans="1:6" ht="48" x14ac:dyDescent="0.2">
      <c r="A32" s="4" t="s">
        <v>269</v>
      </c>
      <c r="B32" s="3" t="s">
        <v>31</v>
      </c>
      <c r="C32" s="3"/>
      <c r="D32" s="265">
        <f t="shared" ref="D32" si="12">D33+D36</f>
        <v>1356.106</v>
      </c>
      <c r="E32" s="265">
        <f>E33+E36</f>
        <v>0</v>
      </c>
      <c r="F32" s="265">
        <f>F33+F36</f>
        <v>1356.106</v>
      </c>
    </row>
    <row r="33" spans="1:6" ht="48" x14ac:dyDescent="0.2">
      <c r="A33" s="4" t="s">
        <v>270</v>
      </c>
      <c r="B33" s="3" t="s">
        <v>271</v>
      </c>
      <c r="C33" s="3"/>
      <c r="D33" s="265">
        <f t="shared" ref="D33:F34" si="13">D34</f>
        <v>55.7</v>
      </c>
      <c r="E33" s="265">
        <f t="shared" si="13"/>
        <v>0</v>
      </c>
      <c r="F33" s="265">
        <f t="shared" si="13"/>
        <v>55.7</v>
      </c>
    </row>
    <row r="34" spans="1:6" ht="24" x14ac:dyDescent="0.2">
      <c r="A34" s="4" t="s">
        <v>127</v>
      </c>
      <c r="B34" s="3" t="s">
        <v>126</v>
      </c>
      <c r="C34" s="3"/>
      <c r="D34" s="265">
        <f t="shared" si="13"/>
        <v>55.7</v>
      </c>
      <c r="E34" s="265">
        <f t="shared" si="13"/>
        <v>0</v>
      </c>
      <c r="F34" s="265">
        <f t="shared" si="13"/>
        <v>55.7</v>
      </c>
    </row>
    <row r="35" spans="1:6" ht="24" x14ac:dyDescent="0.2">
      <c r="A35" s="4" t="s">
        <v>47</v>
      </c>
      <c r="B35" s="3" t="s">
        <v>126</v>
      </c>
      <c r="C35" s="3">
        <v>200</v>
      </c>
      <c r="D35" s="60">
        <v>55.7</v>
      </c>
      <c r="E35" s="265"/>
      <c r="F35" s="60">
        <f>D35+E35</f>
        <v>55.7</v>
      </c>
    </row>
    <row r="36" spans="1:6" s="31" customFormat="1" ht="24" x14ac:dyDescent="0.2">
      <c r="A36" s="4" t="s">
        <v>30</v>
      </c>
      <c r="B36" s="3" t="s">
        <v>311</v>
      </c>
      <c r="C36" s="3"/>
      <c r="D36" s="265">
        <f t="shared" ref="D36:F37" si="14">D37</f>
        <v>1300.4059999999999</v>
      </c>
      <c r="E36" s="265">
        <f t="shared" si="14"/>
        <v>0</v>
      </c>
      <c r="F36" s="265">
        <f t="shared" si="14"/>
        <v>1300.4059999999999</v>
      </c>
    </row>
    <row r="37" spans="1:6" s="31" customFormat="1" ht="24" x14ac:dyDescent="0.2">
      <c r="A37" s="4" t="s">
        <v>312</v>
      </c>
      <c r="B37" s="3" t="s">
        <v>313</v>
      </c>
      <c r="C37" s="3"/>
      <c r="D37" s="265">
        <f t="shared" si="14"/>
        <v>1300.4059999999999</v>
      </c>
      <c r="E37" s="265">
        <f t="shared" si="14"/>
        <v>0</v>
      </c>
      <c r="F37" s="265">
        <f t="shared" si="14"/>
        <v>1300.4059999999999</v>
      </c>
    </row>
    <row r="38" spans="1:6" s="31" customFormat="1" ht="25.5" x14ac:dyDescent="0.2">
      <c r="A38" s="1" t="s">
        <v>29</v>
      </c>
      <c r="B38" s="3" t="s">
        <v>313</v>
      </c>
      <c r="C38" s="3" t="s">
        <v>26</v>
      </c>
      <c r="D38" s="60">
        <v>1300.4059999999999</v>
      </c>
      <c r="E38" s="265"/>
      <c r="F38" s="60">
        <f>D38+E38</f>
        <v>1300.4059999999999</v>
      </c>
    </row>
    <row r="39" spans="1:6" ht="36" x14ac:dyDescent="0.2">
      <c r="A39" s="4" t="s">
        <v>284</v>
      </c>
      <c r="B39" s="3" t="s">
        <v>103</v>
      </c>
      <c r="C39" s="3"/>
      <c r="D39" s="266">
        <f t="shared" ref="D39" si="15">D40+D43</f>
        <v>780</v>
      </c>
      <c r="E39" s="266">
        <f>E40+E43</f>
        <v>-300</v>
      </c>
      <c r="F39" s="266">
        <f>F40+F43</f>
        <v>480</v>
      </c>
    </row>
    <row r="40" spans="1:6" ht="24" x14ac:dyDescent="0.2">
      <c r="A40" s="4" t="s">
        <v>212</v>
      </c>
      <c r="B40" s="3" t="s">
        <v>285</v>
      </c>
      <c r="C40" s="3"/>
      <c r="D40" s="266">
        <f t="shared" ref="D40:F41" si="16">D41</f>
        <v>730</v>
      </c>
      <c r="E40" s="266">
        <f t="shared" si="16"/>
        <v>-300</v>
      </c>
      <c r="F40" s="266">
        <f t="shared" si="16"/>
        <v>430</v>
      </c>
    </row>
    <row r="41" spans="1:6" ht="36" x14ac:dyDescent="0.2">
      <c r="A41" s="4" t="s">
        <v>286</v>
      </c>
      <c r="B41" s="3" t="s">
        <v>102</v>
      </c>
      <c r="C41" s="3"/>
      <c r="D41" s="266">
        <f t="shared" si="16"/>
        <v>730</v>
      </c>
      <c r="E41" s="266">
        <f t="shared" si="16"/>
        <v>-300</v>
      </c>
      <c r="F41" s="266">
        <f t="shared" si="16"/>
        <v>430</v>
      </c>
    </row>
    <row r="42" spans="1:6" ht="24" x14ac:dyDescent="0.2">
      <c r="A42" s="73" t="s">
        <v>73</v>
      </c>
      <c r="B42" s="3" t="s">
        <v>102</v>
      </c>
      <c r="C42" s="3" t="s">
        <v>80</v>
      </c>
      <c r="D42" s="60">
        <v>730</v>
      </c>
      <c r="E42" s="266">
        <v>-300</v>
      </c>
      <c r="F42" s="60">
        <f>D42+E42</f>
        <v>430</v>
      </c>
    </row>
    <row r="43" spans="1:6" ht="36" x14ac:dyDescent="0.2">
      <c r="A43" s="4" t="s">
        <v>289</v>
      </c>
      <c r="B43" s="3" t="s">
        <v>287</v>
      </c>
      <c r="C43" s="3"/>
      <c r="D43" s="266">
        <f t="shared" ref="D43:F44" si="17">D44</f>
        <v>50</v>
      </c>
      <c r="E43" s="266">
        <f t="shared" si="17"/>
        <v>0</v>
      </c>
      <c r="F43" s="266">
        <f t="shared" si="17"/>
        <v>50</v>
      </c>
    </row>
    <row r="44" spans="1:6" ht="24" x14ac:dyDescent="0.2">
      <c r="A44" s="4" t="s">
        <v>290</v>
      </c>
      <c r="B44" s="3" t="s">
        <v>288</v>
      </c>
      <c r="C44" s="3"/>
      <c r="D44" s="266">
        <f t="shared" si="17"/>
        <v>50</v>
      </c>
      <c r="E44" s="266">
        <f t="shared" si="17"/>
        <v>0</v>
      </c>
      <c r="F44" s="266">
        <f t="shared" si="17"/>
        <v>50</v>
      </c>
    </row>
    <row r="45" spans="1:6" ht="24" x14ac:dyDescent="0.2">
      <c r="A45" s="4" t="s">
        <v>47</v>
      </c>
      <c r="B45" s="3" t="s">
        <v>288</v>
      </c>
      <c r="C45" s="3" t="s">
        <v>51</v>
      </c>
      <c r="D45" s="60">
        <v>50</v>
      </c>
      <c r="E45" s="266"/>
      <c r="F45" s="60">
        <f>D45+E45</f>
        <v>50</v>
      </c>
    </row>
    <row r="46" spans="1:6" s="31" customFormat="1" ht="72" x14ac:dyDescent="0.2">
      <c r="A46" s="7" t="s">
        <v>319</v>
      </c>
      <c r="B46" s="3" t="s">
        <v>635</v>
      </c>
      <c r="C46" s="3"/>
      <c r="D46" s="60">
        <f>D47+D50</f>
        <v>1107.8399999999999</v>
      </c>
      <c r="E46" s="60">
        <f t="shared" ref="E46:F46" si="18">E47+E50</f>
        <v>520.21100000000001</v>
      </c>
      <c r="F46" s="60">
        <f t="shared" si="18"/>
        <v>1628.0509999999999</v>
      </c>
    </row>
    <row r="47" spans="1:6" s="31" customFormat="1" ht="24" x14ac:dyDescent="0.2">
      <c r="A47" s="7" t="s">
        <v>320</v>
      </c>
      <c r="B47" s="3" t="s">
        <v>528</v>
      </c>
      <c r="C47" s="3"/>
      <c r="D47" s="60">
        <f t="shared" ref="D47:F48" si="19">D48</f>
        <v>1107.8399999999999</v>
      </c>
      <c r="E47" s="60">
        <f t="shared" si="19"/>
        <v>505.21912000000003</v>
      </c>
      <c r="F47" s="60">
        <f t="shared" si="19"/>
        <v>1613.0591199999999</v>
      </c>
    </row>
    <row r="48" spans="1:6" s="31" customFormat="1" ht="24" x14ac:dyDescent="0.2">
      <c r="A48" s="4" t="s">
        <v>74</v>
      </c>
      <c r="B48" s="3" t="s">
        <v>529</v>
      </c>
      <c r="C48" s="3"/>
      <c r="D48" s="240">
        <f t="shared" si="19"/>
        <v>1107.8399999999999</v>
      </c>
      <c r="E48" s="240">
        <f t="shared" si="19"/>
        <v>505.21912000000003</v>
      </c>
      <c r="F48" s="240">
        <f t="shared" si="19"/>
        <v>1613.0591199999999</v>
      </c>
    </row>
    <row r="49" spans="1:6" s="31" customFormat="1" ht="48" x14ac:dyDescent="0.2">
      <c r="A49" s="4" t="s">
        <v>38</v>
      </c>
      <c r="B49" s="3" t="s">
        <v>529</v>
      </c>
      <c r="C49" s="3" t="s">
        <v>34</v>
      </c>
      <c r="D49" s="60">
        <f>850.875+256.965</f>
        <v>1107.8399999999999</v>
      </c>
      <c r="E49" s="240">
        <f>155.5+46.961+232.5337+70.22442</f>
        <v>505.21912000000003</v>
      </c>
      <c r="F49" s="60">
        <f>D49+E49</f>
        <v>1613.0591199999999</v>
      </c>
    </row>
    <row r="50" spans="1:6" s="31" customFormat="1" x14ac:dyDescent="0.2">
      <c r="A50" s="4" t="s">
        <v>545</v>
      </c>
      <c r="B50" s="3" t="s">
        <v>634</v>
      </c>
      <c r="C50" s="3"/>
      <c r="D50" s="263">
        <f t="shared" ref="D50:F50" si="20">D51</f>
        <v>0</v>
      </c>
      <c r="E50" s="263">
        <f t="shared" si="20"/>
        <v>14.991879999999998</v>
      </c>
      <c r="F50" s="263">
        <f t="shared" si="20"/>
        <v>14.991879999999998</v>
      </c>
    </row>
    <row r="51" spans="1:6" s="31" customFormat="1" ht="48" x14ac:dyDescent="0.2">
      <c r="A51" s="4" t="s">
        <v>38</v>
      </c>
      <c r="B51" s="3" t="s">
        <v>634</v>
      </c>
      <c r="C51" s="3" t="s">
        <v>34</v>
      </c>
      <c r="D51" s="60"/>
      <c r="E51" s="263">
        <f>32.139+9.706-20.6245-6.22862</f>
        <v>14.991879999999998</v>
      </c>
      <c r="F51" s="60">
        <f>D51+E51</f>
        <v>14.991879999999998</v>
      </c>
    </row>
    <row r="52" spans="1:6" s="31" customFormat="1" ht="36" x14ac:dyDescent="0.2">
      <c r="A52" s="4" t="s">
        <v>636</v>
      </c>
      <c r="B52" s="3" t="s">
        <v>637</v>
      </c>
      <c r="C52" s="3"/>
      <c r="D52" s="60">
        <f>D53+D59</f>
        <v>0</v>
      </c>
      <c r="E52" s="60">
        <f>E53+E59</f>
        <v>6898.3645900000001</v>
      </c>
      <c r="F52" s="60">
        <f t="shared" ref="F52:F60" si="21">D52+E52</f>
        <v>6898.3645900000001</v>
      </c>
    </row>
    <row r="53" spans="1:6" s="31" customFormat="1" ht="24" x14ac:dyDescent="0.2">
      <c r="A53" s="4" t="s">
        <v>639</v>
      </c>
      <c r="B53" s="3" t="s">
        <v>640</v>
      </c>
      <c r="C53" s="3"/>
      <c r="D53" s="60">
        <f>D54+D56</f>
        <v>0</v>
      </c>
      <c r="E53" s="60">
        <f>E54+E56</f>
        <v>6456.1570400000001</v>
      </c>
      <c r="F53" s="60">
        <f t="shared" si="21"/>
        <v>6456.1570400000001</v>
      </c>
    </row>
    <row r="54" spans="1:6" s="31" customFormat="1" x14ac:dyDescent="0.2">
      <c r="A54" s="4" t="s">
        <v>643</v>
      </c>
      <c r="B54" s="3" t="s">
        <v>638</v>
      </c>
      <c r="C54" s="3"/>
      <c r="D54" s="60">
        <f>D55</f>
        <v>0</v>
      </c>
      <c r="E54" s="60">
        <f>E55</f>
        <v>4820.79054</v>
      </c>
      <c r="F54" s="60">
        <f t="shared" si="21"/>
        <v>4820.79054</v>
      </c>
    </row>
    <row r="55" spans="1:6" s="31" customFormat="1" ht="48" x14ac:dyDescent="0.2">
      <c r="A55" s="4" t="s">
        <v>38</v>
      </c>
      <c r="B55" s="3" t="s">
        <v>638</v>
      </c>
      <c r="C55" s="3" t="s">
        <v>34</v>
      </c>
      <c r="D55" s="60"/>
      <c r="E55" s="60">
        <f>3702.60451+1118.18603</f>
        <v>4820.79054</v>
      </c>
      <c r="F55" s="60">
        <f t="shared" si="21"/>
        <v>4820.79054</v>
      </c>
    </row>
    <row r="56" spans="1:6" s="31" customFormat="1" x14ac:dyDescent="0.2">
      <c r="A56" s="7" t="s">
        <v>641</v>
      </c>
      <c r="B56" s="3" t="s">
        <v>642</v>
      </c>
      <c r="C56" s="3"/>
      <c r="D56" s="60">
        <f>D57+D58</f>
        <v>0</v>
      </c>
      <c r="E56" s="60">
        <f>E57+E58</f>
        <v>1635.3665000000001</v>
      </c>
      <c r="F56" s="60">
        <f t="shared" si="21"/>
        <v>1635.3665000000001</v>
      </c>
    </row>
    <row r="57" spans="1:6" s="31" customFormat="1" ht="24" x14ac:dyDescent="0.2">
      <c r="A57" s="4" t="s">
        <v>47</v>
      </c>
      <c r="B57" s="3" t="s">
        <v>642</v>
      </c>
      <c r="C57" s="3" t="s">
        <v>51</v>
      </c>
      <c r="D57" s="60"/>
      <c r="E57" s="60">
        <f>1308.064+12+95+80+185+15+30+180-330+10.5625</f>
        <v>1585.6265000000001</v>
      </c>
      <c r="F57" s="60">
        <f t="shared" si="21"/>
        <v>1585.6265000000001</v>
      </c>
    </row>
    <row r="58" spans="1:6" s="31" customFormat="1" ht="24" x14ac:dyDescent="0.2">
      <c r="A58" s="7" t="s">
        <v>73</v>
      </c>
      <c r="B58" s="3" t="s">
        <v>642</v>
      </c>
      <c r="C58" s="3" t="s">
        <v>80</v>
      </c>
      <c r="D58" s="60"/>
      <c r="E58" s="60">
        <f>24.94+10.2+14.6</f>
        <v>49.74</v>
      </c>
      <c r="F58" s="60">
        <f t="shared" si="21"/>
        <v>49.74</v>
      </c>
    </row>
    <row r="59" spans="1:6" s="31" customFormat="1" x14ac:dyDescent="0.2">
      <c r="A59" s="7" t="s">
        <v>545</v>
      </c>
      <c r="B59" s="3" t="s">
        <v>644</v>
      </c>
      <c r="C59" s="3"/>
      <c r="D59" s="60">
        <f>D60</f>
        <v>0</v>
      </c>
      <c r="E59" s="60">
        <f>E60</f>
        <v>442.20755000000003</v>
      </c>
      <c r="F59" s="60">
        <f t="shared" si="21"/>
        <v>442.20755000000003</v>
      </c>
    </row>
    <row r="60" spans="1:6" s="31" customFormat="1" ht="48" x14ac:dyDescent="0.2">
      <c r="A60" s="4" t="s">
        <v>38</v>
      </c>
      <c r="B60" s="3" t="s">
        <v>644</v>
      </c>
      <c r="C60" s="3" t="s">
        <v>34</v>
      </c>
      <c r="D60" s="60"/>
      <c r="E60" s="60">
        <f>56.847+17.168+282.79+85.40255</f>
        <v>442.20755000000003</v>
      </c>
      <c r="F60" s="60">
        <f t="shared" si="21"/>
        <v>442.20755000000003</v>
      </c>
    </row>
    <row r="61" spans="1:6" s="31" customFormat="1" ht="36" x14ac:dyDescent="0.2">
      <c r="A61" s="4" t="s">
        <v>393</v>
      </c>
      <c r="B61" s="3" t="s">
        <v>41</v>
      </c>
      <c r="C61" s="3"/>
      <c r="D61" s="240">
        <f>D62+D77+D81+D84+D93</f>
        <v>52783.647940000003</v>
      </c>
      <c r="E61" s="240">
        <f>E62+E77+E81+E84+E93</f>
        <v>-6524.266889999999</v>
      </c>
      <c r="F61" s="240">
        <f>F62+F77+F81+F84+F93</f>
        <v>46259.381050000004</v>
      </c>
    </row>
    <row r="62" spans="1:6" s="241" customFormat="1" ht="24" x14ac:dyDescent="0.2">
      <c r="A62" s="4" t="s">
        <v>40</v>
      </c>
      <c r="B62" s="3" t="s">
        <v>308</v>
      </c>
      <c r="C62" s="3"/>
      <c r="D62" s="240">
        <f>D63+D67+D65+D69+D71+D75</f>
        <v>28836.36032</v>
      </c>
      <c r="E62" s="240">
        <f t="shared" ref="E62:F62" si="22">E63+E67+E65+E69+E71+E75</f>
        <v>-3125.6155999999996</v>
      </c>
      <c r="F62" s="240">
        <f t="shared" si="22"/>
        <v>25710.744720000002</v>
      </c>
    </row>
    <row r="63" spans="1:6" s="241" customFormat="1" ht="24" x14ac:dyDescent="0.2">
      <c r="A63" s="4" t="s">
        <v>315</v>
      </c>
      <c r="B63" s="3" t="s">
        <v>39</v>
      </c>
      <c r="C63" s="3"/>
      <c r="D63" s="240">
        <f>D64</f>
        <v>21912.400000000001</v>
      </c>
      <c r="E63" s="240">
        <f>E64</f>
        <v>-914.24054000000001</v>
      </c>
      <c r="F63" s="240">
        <f>F64</f>
        <v>20998.159460000003</v>
      </c>
    </row>
    <row r="64" spans="1:6" s="241" customFormat="1" ht="24" x14ac:dyDescent="0.2">
      <c r="A64" s="4" t="s">
        <v>29</v>
      </c>
      <c r="B64" s="3" t="s">
        <v>39</v>
      </c>
      <c r="C64" s="3" t="s">
        <v>26</v>
      </c>
      <c r="D64" s="60">
        <v>21912.400000000001</v>
      </c>
      <c r="E64" s="240">
        <f>-1164.24054+0.00106+250-0.00106</f>
        <v>-914.24054000000001</v>
      </c>
      <c r="F64" s="60">
        <f>D64+E64</f>
        <v>20998.159460000003</v>
      </c>
    </row>
    <row r="65" spans="1:6" s="241" customFormat="1" x14ac:dyDescent="0.2">
      <c r="A65" s="4" t="s">
        <v>545</v>
      </c>
      <c r="B65" s="3" t="s">
        <v>544</v>
      </c>
      <c r="C65" s="3"/>
      <c r="D65" s="60">
        <f>D66</f>
        <v>676.77</v>
      </c>
      <c r="E65" s="60">
        <f t="shared" ref="E65:F65" si="23">E66</f>
        <v>0</v>
      </c>
      <c r="F65" s="60">
        <f t="shared" si="23"/>
        <v>676.77</v>
      </c>
    </row>
    <row r="66" spans="1:6" s="241" customFormat="1" ht="24" x14ac:dyDescent="0.2">
      <c r="A66" s="4" t="s">
        <v>29</v>
      </c>
      <c r="B66" s="3" t="s">
        <v>544</v>
      </c>
      <c r="C66" s="3" t="s">
        <v>26</v>
      </c>
      <c r="D66" s="60">
        <v>676.77</v>
      </c>
      <c r="E66" s="240"/>
      <c r="F66" s="60">
        <f t="shared" ref="F66" si="24">D66+E66</f>
        <v>676.77</v>
      </c>
    </row>
    <row r="67" spans="1:6" s="241" customFormat="1" ht="36" x14ac:dyDescent="0.2">
      <c r="A67" s="4" t="s">
        <v>546</v>
      </c>
      <c r="B67" s="3" t="s">
        <v>547</v>
      </c>
      <c r="C67" s="3"/>
      <c r="D67" s="60">
        <f>D68</f>
        <v>1742.7551000000001</v>
      </c>
      <c r="E67" s="60">
        <f t="shared" ref="E67:F67" si="25">E68</f>
        <v>-8.8000000000000003E-4</v>
      </c>
      <c r="F67" s="60">
        <f t="shared" si="25"/>
        <v>1742.75422</v>
      </c>
    </row>
    <row r="68" spans="1:6" s="241" customFormat="1" ht="24" x14ac:dyDescent="0.2">
      <c r="A68" s="4" t="s">
        <v>29</v>
      </c>
      <c r="B68" s="3" t="s">
        <v>547</v>
      </c>
      <c r="C68" s="3" t="s">
        <v>26</v>
      </c>
      <c r="D68" s="60">
        <v>1742.7551000000001</v>
      </c>
      <c r="E68" s="240">
        <f>-0.00088</f>
        <v>-8.8000000000000003E-4</v>
      </c>
      <c r="F68" s="60">
        <f t="shared" ref="F68" si="26">D68+E68</f>
        <v>1742.75422</v>
      </c>
    </row>
    <row r="69" spans="1:6" s="241" customFormat="1" ht="24" x14ac:dyDescent="0.2">
      <c r="A69" s="4" t="s">
        <v>549</v>
      </c>
      <c r="B69" s="3" t="s">
        <v>550</v>
      </c>
      <c r="C69" s="3"/>
      <c r="D69" s="60">
        <f>D70</f>
        <v>2293.06122</v>
      </c>
      <c r="E69" s="60">
        <f t="shared" ref="E69:F69" si="27">E70</f>
        <v>-1.8000000000000001E-4</v>
      </c>
      <c r="F69" s="60">
        <f t="shared" si="27"/>
        <v>2293.06104</v>
      </c>
    </row>
    <row r="70" spans="1:6" s="241" customFormat="1" ht="24" x14ac:dyDescent="0.2">
      <c r="A70" s="4" t="s">
        <v>29</v>
      </c>
      <c r="B70" s="3" t="s">
        <v>550</v>
      </c>
      <c r="C70" s="3" t="s">
        <v>26</v>
      </c>
      <c r="D70" s="60">
        <v>2293.06122</v>
      </c>
      <c r="E70" s="240">
        <f>-0.00018</f>
        <v>-1.8000000000000001E-4</v>
      </c>
      <c r="F70" s="60">
        <f t="shared" ref="F70" si="28">D70+E70</f>
        <v>2293.06104</v>
      </c>
    </row>
    <row r="71" spans="1:6" s="241" customFormat="1" ht="36" x14ac:dyDescent="0.2">
      <c r="A71" s="7" t="s">
        <v>321</v>
      </c>
      <c r="B71" s="3" t="s">
        <v>35</v>
      </c>
      <c r="C71" s="3"/>
      <c r="D71" s="267">
        <f>D72+D73+D74</f>
        <v>2095.5139999999997</v>
      </c>
      <c r="E71" s="267">
        <f>E72+E73+E74</f>
        <v>-2095.5139999999997</v>
      </c>
      <c r="F71" s="267">
        <f>F72+F73+F74</f>
        <v>0</v>
      </c>
    </row>
    <row r="72" spans="1:6" s="241" customFormat="1" ht="48" x14ac:dyDescent="0.2">
      <c r="A72" s="4" t="s">
        <v>38</v>
      </c>
      <c r="B72" s="3" t="s">
        <v>35</v>
      </c>
      <c r="C72" s="3" t="s">
        <v>34</v>
      </c>
      <c r="D72" s="60">
        <f>566.598+171.112</f>
        <v>737.70999999999992</v>
      </c>
      <c r="E72" s="267">
        <f>-566.598-171.112</f>
        <v>-737.70999999999992</v>
      </c>
      <c r="F72" s="60">
        <f>D72+E72</f>
        <v>0</v>
      </c>
    </row>
    <row r="73" spans="1:6" s="241" customFormat="1" ht="24" x14ac:dyDescent="0.2">
      <c r="A73" s="4" t="s">
        <v>47</v>
      </c>
      <c r="B73" s="3" t="s">
        <v>35</v>
      </c>
      <c r="C73" s="3" t="s">
        <v>51</v>
      </c>
      <c r="D73" s="60">
        <v>1308.0640000000001</v>
      </c>
      <c r="E73" s="267">
        <f>-1308.064</f>
        <v>-1308.0640000000001</v>
      </c>
      <c r="F73" s="60">
        <f>D73+E73</f>
        <v>0</v>
      </c>
    </row>
    <row r="74" spans="1:6" s="241" customFormat="1" ht="24" x14ac:dyDescent="0.2">
      <c r="A74" s="7" t="s">
        <v>73</v>
      </c>
      <c r="B74" s="3" t="s">
        <v>35</v>
      </c>
      <c r="C74" s="3">
        <v>800</v>
      </c>
      <c r="D74" s="60">
        <f>24.94+10.2+14.6</f>
        <v>49.74</v>
      </c>
      <c r="E74" s="267">
        <f>-24.94-10.2-14.6</f>
        <v>-49.74</v>
      </c>
      <c r="F74" s="60">
        <f>D74+E74</f>
        <v>0</v>
      </c>
    </row>
    <row r="75" spans="1:6" s="241" customFormat="1" x14ac:dyDescent="0.2">
      <c r="A75" s="4" t="s">
        <v>545</v>
      </c>
      <c r="B75" s="3" t="s">
        <v>544</v>
      </c>
      <c r="C75" s="3"/>
      <c r="D75" s="263">
        <f t="shared" ref="D75:F75" si="29">D76</f>
        <v>115.86</v>
      </c>
      <c r="E75" s="263">
        <f t="shared" si="29"/>
        <v>-115.86</v>
      </c>
      <c r="F75" s="263">
        <f t="shared" si="29"/>
        <v>0</v>
      </c>
    </row>
    <row r="76" spans="1:6" s="241" customFormat="1" ht="48" x14ac:dyDescent="0.2">
      <c r="A76" s="4" t="s">
        <v>38</v>
      </c>
      <c r="B76" s="3" t="s">
        <v>544</v>
      </c>
      <c r="C76" s="3" t="s">
        <v>34</v>
      </c>
      <c r="D76" s="60">
        <f>88.986+26.874</f>
        <v>115.86</v>
      </c>
      <c r="E76" s="263">
        <f>-88.986-26.874</f>
        <v>-115.86</v>
      </c>
      <c r="F76" s="60">
        <f>D76+E76</f>
        <v>0</v>
      </c>
    </row>
    <row r="77" spans="1:6" s="241" customFormat="1" ht="36" x14ac:dyDescent="0.2">
      <c r="A77" s="4" t="s">
        <v>329</v>
      </c>
      <c r="B77" s="3" t="s">
        <v>272</v>
      </c>
      <c r="C77" s="3"/>
      <c r="D77" s="265">
        <f t="shared" ref="D77:F77" si="30">D78</f>
        <v>769.50000000000011</v>
      </c>
      <c r="E77" s="265">
        <f t="shared" si="30"/>
        <v>0</v>
      </c>
      <c r="F77" s="265">
        <f t="shared" si="30"/>
        <v>769.50000000000011</v>
      </c>
    </row>
    <row r="78" spans="1:6" s="241" customFormat="1" ht="60" x14ac:dyDescent="0.2">
      <c r="A78" s="4" t="s">
        <v>394</v>
      </c>
      <c r="B78" s="3" t="s">
        <v>125</v>
      </c>
      <c r="C78" s="3"/>
      <c r="D78" s="265">
        <f t="shared" ref="D78:F78" si="31">D79+D80</f>
        <v>769.50000000000011</v>
      </c>
      <c r="E78" s="265">
        <f t="shared" si="31"/>
        <v>0</v>
      </c>
      <c r="F78" s="265">
        <f t="shared" si="31"/>
        <v>769.50000000000011</v>
      </c>
    </row>
    <row r="79" spans="1:6" s="241" customFormat="1" ht="48" x14ac:dyDescent="0.2">
      <c r="A79" s="4" t="s">
        <v>38</v>
      </c>
      <c r="B79" s="3" t="s">
        <v>125</v>
      </c>
      <c r="C79" s="3" t="s">
        <v>34</v>
      </c>
      <c r="D79" s="60">
        <f>423.23502+4.848+127.81698</f>
        <v>555.90000000000009</v>
      </c>
      <c r="E79" s="265"/>
      <c r="F79" s="60">
        <f>D79+E79</f>
        <v>555.90000000000009</v>
      </c>
    </row>
    <row r="80" spans="1:6" s="241" customFormat="1" ht="24" x14ac:dyDescent="0.2">
      <c r="A80" s="4" t="s">
        <v>47</v>
      </c>
      <c r="B80" s="3" t="s">
        <v>125</v>
      </c>
      <c r="C80" s="3" t="s">
        <v>51</v>
      </c>
      <c r="D80" s="60">
        <v>213.6</v>
      </c>
      <c r="E80" s="265"/>
      <c r="F80" s="60">
        <f>D80+E80</f>
        <v>213.6</v>
      </c>
    </row>
    <row r="81" spans="1:6" s="241" customFormat="1" ht="24" x14ac:dyDescent="0.2">
      <c r="A81" s="4" t="s">
        <v>478</v>
      </c>
      <c r="B81" s="3" t="s">
        <v>479</v>
      </c>
      <c r="C81" s="3"/>
      <c r="D81" s="240">
        <f t="shared" ref="D81:F82" si="32">D82</f>
        <v>7070.9993599999998</v>
      </c>
      <c r="E81" s="240">
        <f t="shared" si="32"/>
        <v>-7070.9993599999998</v>
      </c>
      <c r="F81" s="240">
        <f t="shared" si="32"/>
        <v>0</v>
      </c>
    </row>
    <row r="82" spans="1:6" s="241" customFormat="1" ht="24" x14ac:dyDescent="0.2">
      <c r="A82" s="4" t="s">
        <v>563</v>
      </c>
      <c r="B82" s="3" t="s">
        <v>564</v>
      </c>
      <c r="C82" s="3"/>
      <c r="D82" s="240">
        <f>D83</f>
        <v>7070.9993599999998</v>
      </c>
      <c r="E82" s="240">
        <f t="shared" si="32"/>
        <v>-7070.9993599999998</v>
      </c>
      <c r="F82" s="240">
        <f t="shared" si="32"/>
        <v>0</v>
      </c>
    </row>
    <row r="83" spans="1:6" s="241" customFormat="1" ht="24" x14ac:dyDescent="0.2">
      <c r="A83" s="4" t="s">
        <v>47</v>
      </c>
      <c r="B83" s="3" t="s">
        <v>564</v>
      </c>
      <c r="C83" s="3" t="s">
        <v>51</v>
      </c>
      <c r="D83" s="60">
        <v>7070.9993599999998</v>
      </c>
      <c r="E83" s="240">
        <v>-7070.9993599999998</v>
      </c>
      <c r="F83" s="60">
        <f>D83+E83</f>
        <v>0</v>
      </c>
    </row>
    <row r="84" spans="1:6" s="241" customFormat="1" ht="24" x14ac:dyDescent="0.2">
      <c r="A84" s="4" t="s">
        <v>239</v>
      </c>
      <c r="B84" s="3" t="s">
        <v>316</v>
      </c>
      <c r="C84" s="3"/>
      <c r="D84" s="240">
        <f>D85+D87+D89+D91</f>
        <v>16106.788259999999</v>
      </c>
      <c r="E84" s="240">
        <f t="shared" ref="E84:F84" si="33">E85+E87+E89+E91</f>
        <v>-3603.1170000000002</v>
      </c>
      <c r="F84" s="240">
        <f t="shared" si="33"/>
        <v>12503.671259999999</v>
      </c>
    </row>
    <row r="85" spans="1:6" s="241" customFormat="1" ht="24" x14ac:dyDescent="0.2">
      <c r="A85" s="4" t="s">
        <v>318</v>
      </c>
      <c r="B85" s="3" t="s">
        <v>317</v>
      </c>
      <c r="C85" s="3"/>
      <c r="D85" s="240">
        <f>D86</f>
        <v>15434.07</v>
      </c>
      <c r="E85" s="240">
        <f t="shared" ref="E85:F85" si="34">E86</f>
        <v>-3041.3009999999999</v>
      </c>
      <c r="F85" s="240">
        <f t="shared" si="34"/>
        <v>12392.769</v>
      </c>
    </row>
    <row r="86" spans="1:6" s="241" customFormat="1" ht="24" x14ac:dyDescent="0.2">
      <c r="A86" s="4" t="s">
        <v>29</v>
      </c>
      <c r="B86" s="3" t="s">
        <v>317</v>
      </c>
      <c r="C86" s="3" t="s">
        <v>26</v>
      </c>
      <c r="D86" s="60">
        <v>15434.07</v>
      </c>
      <c r="E86" s="240">
        <f>-3121.301+80</f>
        <v>-3041.3009999999999</v>
      </c>
      <c r="F86" s="60">
        <f>D86+E86</f>
        <v>12392.769</v>
      </c>
    </row>
    <row r="87" spans="1:6" s="241" customFormat="1" x14ac:dyDescent="0.2">
      <c r="A87" s="7" t="s">
        <v>548</v>
      </c>
      <c r="B87" s="3" t="s">
        <v>607</v>
      </c>
      <c r="C87" s="3"/>
      <c r="D87" s="60">
        <f>D88</f>
        <v>672.71825999999999</v>
      </c>
      <c r="E87" s="60">
        <f t="shared" ref="E87:F87" si="35">E88</f>
        <v>-672.71825999999999</v>
      </c>
      <c r="F87" s="60">
        <f t="shared" si="35"/>
        <v>0</v>
      </c>
    </row>
    <row r="88" spans="1:6" s="241" customFormat="1" ht="24" x14ac:dyDescent="0.2">
      <c r="A88" s="7" t="s">
        <v>29</v>
      </c>
      <c r="B88" s="3" t="s">
        <v>607</v>
      </c>
      <c r="C88" s="3" t="s">
        <v>26</v>
      </c>
      <c r="D88" s="60">
        <v>672.71825999999999</v>
      </c>
      <c r="E88" s="240">
        <f>-659.26316-13.4551</f>
        <v>-672.71825999999999</v>
      </c>
      <c r="F88" s="60">
        <f t="shared" ref="F88" si="36">D88+E88</f>
        <v>0</v>
      </c>
    </row>
    <row r="89" spans="1:6" s="241" customFormat="1" x14ac:dyDescent="0.2">
      <c r="A89" s="7" t="s">
        <v>655</v>
      </c>
      <c r="B89" s="3" t="s">
        <v>630</v>
      </c>
      <c r="C89" s="3"/>
      <c r="D89" s="60">
        <f>D90</f>
        <v>0</v>
      </c>
      <c r="E89" s="60">
        <f t="shared" ref="E89:F91" si="37">E90</f>
        <v>6.9710000000000001</v>
      </c>
      <c r="F89" s="60">
        <f t="shared" si="37"/>
        <v>6.9710000000000001</v>
      </c>
    </row>
    <row r="90" spans="1:6" s="241" customFormat="1" ht="24" x14ac:dyDescent="0.2">
      <c r="A90" s="7" t="s">
        <v>29</v>
      </c>
      <c r="B90" s="3" t="s">
        <v>630</v>
      </c>
      <c r="C90" s="3" t="s">
        <v>26</v>
      </c>
      <c r="D90" s="60"/>
      <c r="E90" s="240">
        <f>6.83158+0.13942</f>
        <v>6.9710000000000001</v>
      </c>
      <c r="F90" s="60">
        <f t="shared" ref="F90" si="38">D90+E90</f>
        <v>6.9710000000000001</v>
      </c>
    </row>
    <row r="91" spans="1:6" s="241" customFormat="1" ht="24" x14ac:dyDescent="0.2">
      <c r="A91" s="7" t="s">
        <v>656</v>
      </c>
      <c r="B91" s="3" t="s">
        <v>631</v>
      </c>
      <c r="C91" s="3"/>
      <c r="D91" s="60">
        <f>D92</f>
        <v>0</v>
      </c>
      <c r="E91" s="60">
        <f t="shared" si="37"/>
        <v>103.93126000000001</v>
      </c>
      <c r="F91" s="60">
        <f t="shared" si="37"/>
        <v>103.93126000000001</v>
      </c>
    </row>
    <row r="92" spans="1:6" s="241" customFormat="1" ht="24" x14ac:dyDescent="0.2">
      <c r="A92" s="7" t="s">
        <v>29</v>
      </c>
      <c r="B92" s="3" t="s">
        <v>631</v>
      </c>
      <c r="C92" s="3" t="s">
        <v>26</v>
      </c>
      <c r="D92" s="60"/>
      <c r="E92" s="240">
        <f>101.85263+2.07863</f>
        <v>103.93126000000001</v>
      </c>
      <c r="F92" s="60">
        <f t="shared" ref="F92" si="39">D92+E92</f>
        <v>103.93126000000001</v>
      </c>
    </row>
    <row r="93" spans="1:6" s="241" customFormat="1" ht="24" x14ac:dyDescent="0.2">
      <c r="A93" s="4" t="s">
        <v>653</v>
      </c>
      <c r="B93" s="3" t="s">
        <v>654</v>
      </c>
      <c r="C93" s="3"/>
      <c r="D93" s="60">
        <f>D94+D96</f>
        <v>0</v>
      </c>
      <c r="E93" s="60">
        <f t="shared" ref="E93:F93" si="40">E94+E96</f>
        <v>7275.4650700000002</v>
      </c>
      <c r="F93" s="60">
        <f t="shared" si="40"/>
        <v>7275.4650700000002</v>
      </c>
    </row>
    <row r="94" spans="1:6" s="241" customFormat="1" ht="24" x14ac:dyDescent="0.2">
      <c r="A94" s="4" t="s">
        <v>563</v>
      </c>
      <c r="B94" s="3" t="s">
        <v>648</v>
      </c>
      <c r="C94" s="3"/>
      <c r="D94" s="240">
        <f>D95</f>
        <v>0</v>
      </c>
      <c r="E94" s="240">
        <f t="shared" ref="E94:F94" si="41">E95</f>
        <v>7070.9989299999997</v>
      </c>
      <c r="F94" s="240">
        <f t="shared" si="41"/>
        <v>7070.9989299999997</v>
      </c>
    </row>
    <row r="95" spans="1:6" s="241" customFormat="1" ht="24" x14ac:dyDescent="0.2">
      <c r="A95" s="4" t="s">
        <v>47</v>
      </c>
      <c r="B95" s="3" t="s">
        <v>648</v>
      </c>
      <c r="C95" s="3" t="s">
        <v>51</v>
      </c>
      <c r="D95" s="60"/>
      <c r="E95" s="240">
        <f>7070.99936-0.00043</f>
        <v>7070.9989299999997</v>
      </c>
      <c r="F95" s="60">
        <f>D95+E95</f>
        <v>7070.9989299999997</v>
      </c>
    </row>
    <row r="96" spans="1:6" s="241" customFormat="1" x14ac:dyDescent="0.2">
      <c r="A96" s="4" t="s">
        <v>633</v>
      </c>
      <c r="B96" s="3" t="s">
        <v>632</v>
      </c>
      <c r="C96" s="3"/>
      <c r="D96" s="60">
        <f>D97</f>
        <v>0</v>
      </c>
      <c r="E96" s="60">
        <f t="shared" ref="E96:F96" si="42">E97</f>
        <v>204.46614</v>
      </c>
      <c r="F96" s="60">
        <f t="shared" si="42"/>
        <v>204.46614</v>
      </c>
    </row>
    <row r="97" spans="1:6" s="241" customFormat="1" ht="24" x14ac:dyDescent="0.2">
      <c r="A97" s="4" t="s">
        <v>29</v>
      </c>
      <c r="B97" s="3" t="s">
        <v>632</v>
      </c>
      <c r="C97" s="3" t="s">
        <v>26</v>
      </c>
      <c r="D97" s="60"/>
      <c r="E97" s="240">
        <f>200.37682+4.08932</f>
        <v>204.46614</v>
      </c>
      <c r="F97" s="60">
        <f t="shared" ref="F97" si="43">D97+E97</f>
        <v>204.46614</v>
      </c>
    </row>
    <row r="98" spans="1:6" ht="38.25" x14ac:dyDescent="0.2">
      <c r="A98" s="8" t="s">
        <v>263</v>
      </c>
      <c r="B98" s="3" t="s">
        <v>57</v>
      </c>
      <c r="C98" s="3"/>
      <c r="D98" s="268">
        <f t="shared" ref="D98:F98" si="44">D99+D108</f>
        <v>1218.73</v>
      </c>
      <c r="E98" s="268">
        <f t="shared" si="44"/>
        <v>119.8</v>
      </c>
      <c r="F98" s="268">
        <f t="shared" si="44"/>
        <v>1338.53</v>
      </c>
    </row>
    <row r="99" spans="1:6" s="31" customFormat="1" ht="24" x14ac:dyDescent="0.2">
      <c r="A99" s="4" t="s">
        <v>55</v>
      </c>
      <c r="B99" s="3" t="s">
        <v>264</v>
      </c>
      <c r="C99" s="3"/>
      <c r="D99" s="60">
        <f>D100+D102+D104+D106</f>
        <v>334.5</v>
      </c>
      <c r="E99" s="60">
        <f t="shared" ref="E99:F99" si="45">E100+E102+E104+E106</f>
        <v>59.8</v>
      </c>
      <c r="F99" s="60">
        <f t="shared" si="45"/>
        <v>394.3</v>
      </c>
    </row>
    <row r="100" spans="1:6" s="31" customFormat="1" ht="24" x14ac:dyDescent="0.2">
      <c r="A100" s="4" t="s">
        <v>322</v>
      </c>
      <c r="B100" s="3" t="s">
        <v>52</v>
      </c>
      <c r="C100" s="3"/>
      <c r="D100" s="60">
        <f t="shared" ref="D100:F100" si="46">D101</f>
        <v>60</v>
      </c>
      <c r="E100" s="60">
        <f t="shared" si="46"/>
        <v>59.8</v>
      </c>
      <c r="F100" s="60">
        <f t="shared" si="46"/>
        <v>119.8</v>
      </c>
    </row>
    <row r="101" spans="1:6" s="31" customFormat="1" ht="24" x14ac:dyDescent="0.2">
      <c r="A101" s="4" t="s">
        <v>47</v>
      </c>
      <c r="B101" s="3" t="s">
        <v>52</v>
      </c>
      <c r="C101" s="3" t="s">
        <v>51</v>
      </c>
      <c r="D101" s="60">
        <v>60</v>
      </c>
      <c r="E101" s="60">
        <f>59.8</f>
        <v>59.8</v>
      </c>
      <c r="F101" s="60">
        <f>D101+E101</f>
        <v>119.8</v>
      </c>
    </row>
    <row r="102" spans="1:6" ht="38.25" x14ac:dyDescent="0.2">
      <c r="A102" s="8" t="s">
        <v>337</v>
      </c>
      <c r="B102" s="3" t="s">
        <v>56</v>
      </c>
      <c r="C102" s="3"/>
      <c r="D102" s="268">
        <f t="shared" ref="D102:F102" si="47">D103</f>
        <v>72</v>
      </c>
      <c r="E102" s="268">
        <f t="shared" si="47"/>
        <v>0</v>
      </c>
      <c r="F102" s="268">
        <f t="shared" si="47"/>
        <v>72</v>
      </c>
    </row>
    <row r="103" spans="1:6" ht="48" x14ac:dyDescent="0.2">
      <c r="A103" s="4" t="s">
        <v>38</v>
      </c>
      <c r="B103" s="3" t="s">
        <v>56</v>
      </c>
      <c r="C103" s="3" t="s">
        <v>34</v>
      </c>
      <c r="D103" s="60">
        <f>55.29954+16.70046</f>
        <v>72</v>
      </c>
      <c r="E103" s="268"/>
      <c r="F103" s="60">
        <f>D103+E103</f>
        <v>72</v>
      </c>
    </row>
    <row r="104" spans="1:6" s="31" customFormat="1" ht="48" x14ac:dyDescent="0.2">
      <c r="A104" s="4" t="s">
        <v>238</v>
      </c>
      <c r="B104" s="3" t="s">
        <v>62</v>
      </c>
      <c r="C104" s="3"/>
      <c r="D104" s="265">
        <f t="shared" ref="D104:F106" si="48">D105</f>
        <v>86</v>
      </c>
      <c r="E104" s="265">
        <f t="shared" si="48"/>
        <v>0</v>
      </c>
      <c r="F104" s="265">
        <f t="shared" si="48"/>
        <v>86</v>
      </c>
    </row>
    <row r="105" spans="1:6" s="31" customFormat="1" x14ac:dyDescent="0.2">
      <c r="A105" s="4" t="s">
        <v>45</v>
      </c>
      <c r="B105" s="3" t="s">
        <v>62</v>
      </c>
      <c r="C105" s="3" t="s">
        <v>43</v>
      </c>
      <c r="D105" s="60">
        <v>86</v>
      </c>
      <c r="E105" s="265"/>
      <c r="F105" s="60">
        <f>D105+E105</f>
        <v>86</v>
      </c>
    </row>
    <row r="106" spans="1:6" s="31" customFormat="1" ht="48" x14ac:dyDescent="0.2">
      <c r="A106" s="7" t="s">
        <v>477</v>
      </c>
      <c r="B106" s="3" t="s">
        <v>476</v>
      </c>
      <c r="C106" s="3"/>
      <c r="D106" s="265">
        <f t="shared" si="48"/>
        <v>116.5</v>
      </c>
      <c r="E106" s="265">
        <f t="shared" si="48"/>
        <v>0</v>
      </c>
      <c r="F106" s="265">
        <f t="shared" si="48"/>
        <v>116.5</v>
      </c>
    </row>
    <row r="107" spans="1:6" s="31" customFormat="1" x14ac:dyDescent="0.2">
      <c r="A107" s="7" t="s">
        <v>45</v>
      </c>
      <c r="B107" s="3" t="s">
        <v>476</v>
      </c>
      <c r="C107" s="3" t="s">
        <v>43</v>
      </c>
      <c r="D107" s="60">
        <v>116.5</v>
      </c>
      <c r="E107" s="265"/>
      <c r="F107" s="60">
        <f>D107+E107</f>
        <v>116.5</v>
      </c>
    </row>
    <row r="108" spans="1:6" ht="36" x14ac:dyDescent="0.2">
      <c r="A108" s="4" t="s">
        <v>249</v>
      </c>
      <c r="B108" s="3" t="s">
        <v>304</v>
      </c>
      <c r="C108" s="3"/>
      <c r="D108" s="264">
        <f>D109+D111</f>
        <v>884.23</v>
      </c>
      <c r="E108" s="264">
        <f t="shared" ref="E108:F108" si="49">E109+E111</f>
        <v>60</v>
      </c>
      <c r="F108" s="264">
        <f t="shared" si="49"/>
        <v>944.23</v>
      </c>
    </row>
    <row r="109" spans="1:6" ht="24" x14ac:dyDescent="0.2">
      <c r="A109" s="7" t="s">
        <v>305</v>
      </c>
      <c r="B109" s="3" t="s">
        <v>306</v>
      </c>
      <c r="C109" s="3"/>
      <c r="D109" s="60">
        <f t="shared" ref="D109:F109" si="50">D110</f>
        <v>720.73</v>
      </c>
      <c r="E109" s="60">
        <f t="shared" si="50"/>
        <v>0</v>
      </c>
      <c r="F109" s="60">
        <f t="shared" si="50"/>
        <v>720.73</v>
      </c>
    </row>
    <row r="110" spans="1:6" x14ac:dyDescent="0.2">
      <c r="A110" s="7" t="s">
        <v>45</v>
      </c>
      <c r="B110" s="3" t="s">
        <v>306</v>
      </c>
      <c r="C110" s="3" t="s">
        <v>43</v>
      </c>
      <c r="D110" s="60">
        <v>720.73</v>
      </c>
      <c r="E110" s="240"/>
      <c r="F110" s="60">
        <f>D110+E110</f>
        <v>720.73</v>
      </c>
    </row>
    <row r="111" spans="1:6" s="31" customFormat="1" ht="36" x14ac:dyDescent="0.2">
      <c r="A111" s="4" t="s">
        <v>310</v>
      </c>
      <c r="B111" s="3" t="s">
        <v>309</v>
      </c>
      <c r="C111" s="3"/>
      <c r="D111" s="60">
        <f t="shared" ref="D111:F111" si="51">D112</f>
        <v>163.5</v>
      </c>
      <c r="E111" s="60">
        <f t="shared" si="51"/>
        <v>60</v>
      </c>
      <c r="F111" s="60">
        <f t="shared" si="51"/>
        <v>223.5</v>
      </c>
    </row>
    <row r="112" spans="1:6" s="31" customFormat="1" x14ac:dyDescent="0.2">
      <c r="A112" s="4" t="s">
        <v>45</v>
      </c>
      <c r="B112" s="3" t="s">
        <v>309</v>
      </c>
      <c r="C112" s="3" t="s">
        <v>43</v>
      </c>
      <c r="D112" s="60">
        <v>163.5</v>
      </c>
      <c r="E112" s="240">
        <f>60</f>
        <v>60</v>
      </c>
      <c r="F112" s="60">
        <f>D112+E112</f>
        <v>223.5</v>
      </c>
    </row>
    <row r="113" spans="1:6" ht="36" x14ac:dyDescent="0.2">
      <c r="A113" s="4" t="s">
        <v>431</v>
      </c>
      <c r="B113" s="3" t="s">
        <v>471</v>
      </c>
      <c r="C113" s="3"/>
      <c r="D113" s="265">
        <f>D114+D120</f>
        <v>760.26083999999992</v>
      </c>
      <c r="E113" s="265">
        <f t="shared" ref="E113:F113" si="52">E114+E120</f>
        <v>554.66031999999996</v>
      </c>
      <c r="F113" s="265">
        <f t="shared" si="52"/>
        <v>1314.9211599999999</v>
      </c>
    </row>
    <row r="114" spans="1:6" x14ac:dyDescent="0.2">
      <c r="A114" s="73" t="s">
        <v>432</v>
      </c>
      <c r="B114" s="3" t="s">
        <v>472</v>
      </c>
      <c r="C114" s="3"/>
      <c r="D114" s="60">
        <f>D118+D115</f>
        <v>530.26083999999992</v>
      </c>
      <c r="E114" s="60">
        <f t="shared" ref="E114:F114" si="53">E118+E115</f>
        <v>90.660319999999999</v>
      </c>
      <c r="F114" s="60">
        <f t="shared" si="53"/>
        <v>620.92115999999999</v>
      </c>
    </row>
    <row r="115" spans="1:6" ht="24" x14ac:dyDescent="0.2">
      <c r="A115" s="4" t="s">
        <v>314</v>
      </c>
      <c r="B115" s="3" t="s">
        <v>473</v>
      </c>
      <c r="C115" s="3"/>
      <c r="D115" s="240">
        <f>D117+D116</f>
        <v>50</v>
      </c>
      <c r="E115" s="240">
        <f t="shared" ref="E115:F115" si="54">E117+E116</f>
        <v>0</v>
      </c>
      <c r="F115" s="240">
        <f t="shared" si="54"/>
        <v>50</v>
      </c>
    </row>
    <row r="116" spans="1:6" ht="48" x14ac:dyDescent="0.2">
      <c r="A116" s="4" t="s">
        <v>38</v>
      </c>
      <c r="B116" s="3" t="s">
        <v>473</v>
      </c>
      <c r="C116" s="3" t="s">
        <v>34</v>
      </c>
      <c r="D116" s="240">
        <v>3</v>
      </c>
      <c r="E116" s="240"/>
      <c r="F116" s="60">
        <f>D116+E116</f>
        <v>3</v>
      </c>
    </row>
    <row r="117" spans="1:6" ht="24" x14ac:dyDescent="0.2">
      <c r="A117" s="4" t="s">
        <v>47</v>
      </c>
      <c r="B117" s="3" t="s">
        <v>473</v>
      </c>
      <c r="C117" s="3" t="s">
        <v>51</v>
      </c>
      <c r="D117" s="60">
        <v>47</v>
      </c>
      <c r="E117" s="240"/>
      <c r="F117" s="60">
        <f>D117+E117</f>
        <v>47</v>
      </c>
    </row>
    <row r="118" spans="1:6" ht="24" x14ac:dyDescent="0.2">
      <c r="A118" s="73" t="s">
        <v>561</v>
      </c>
      <c r="B118" s="3" t="s">
        <v>562</v>
      </c>
      <c r="C118" s="3"/>
      <c r="D118" s="60">
        <f>D119</f>
        <v>480.26083999999997</v>
      </c>
      <c r="E118" s="60">
        <f t="shared" ref="E118:F118" si="55">E119</f>
        <v>90.660319999999999</v>
      </c>
      <c r="F118" s="60">
        <f t="shared" si="55"/>
        <v>570.92115999999999</v>
      </c>
    </row>
    <row r="119" spans="1:6" x14ac:dyDescent="0.2">
      <c r="A119" s="7" t="s">
        <v>45</v>
      </c>
      <c r="B119" s="3" t="s">
        <v>562</v>
      </c>
      <c r="C119" s="3" t="s">
        <v>43</v>
      </c>
      <c r="D119" s="60">
        <v>480.26083999999997</v>
      </c>
      <c r="E119" s="265">
        <f>90.06716+0.59316</f>
        <v>90.660319999999999</v>
      </c>
      <c r="F119" s="60">
        <f>D119+E119</f>
        <v>570.92115999999999</v>
      </c>
    </row>
    <row r="120" spans="1:6" ht="36" x14ac:dyDescent="0.2">
      <c r="A120" s="7" t="s">
        <v>48</v>
      </c>
      <c r="B120" s="3" t="s">
        <v>474</v>
      </c>
      <c r="C120" s="3"/>
      <c r="D120" s="265">
        <f>D121</f>
        <v>230</v>
      </c>
      <c r="E120" s="265">
        <f t="shared" ref="E120:F120" si="56">E121</f>
        <v>464</v>
      </c>
      <c r="F120" s="265">
        <f t="shared" si="56"/>
        <v>694</v>
      </c>
    </row>
    <row r="121" spans="1:6" x14ac:dyDescent="0.2">
      <c r="A121" s="4" t="s">
        <v>323</v>
      </c>
      <c r="B121" s="3" t="s">
        <v>475</v>
      </c>
      <c r="C121" s="3"/>
      <c r="D121" s="265">
        <f>D122+D123</f>
        <v>230</v>
      </c>
      <c r="E121" s="265">
        <f t="shared" ref="E121:F121" si="57">E122+E123</f>
        <v>464</v>
      </c>
      <c r="F121" s="265">
        <f t="shared" si="57"/>
        <v>694</v>
      </c>
    </row>
    <row r="122" spans="1:6" ht="48" x14ac:dyDescent="0.2">
      <c r="A122" s="4" t="s">
        <v>38</v>
      </c>
      <c r="B122" s="3" t="s">
        <v>475</v>
      </c>
      <c r="C122" s="3">
        <v>100</v>
      </c>
      <c r="D122" s="60">
        <v>30</v>
      </c>
      <c r="E122" s="265">
        <f>91.2+29</f>
        <v>120.2</v>
      </c>
      <c r="F122" s="60">
        <f>D122+E122</f>
        <v>150.19999999999999</v>
      </c>
    </row>
    <row r="123" spans="1:6" ht="24" x14ac:dyDescent="0.2">
      <c r="A123" s="4" t="s">
        <v>47</v>
      </c>
      <c r="B123" s="3" t="s">
        <v>475</v>
      </c>
      <c r="C123" s="3">
        <v>200</v>
      </c>
      <c r="D123" s="60">
        <v>200</v>
      </c>
      <c r="E123" s="265">
        <f>464-120.2</f>
        <v>343.8</v>
      </c>
      <c r="F123" s="60">
        <f>D123+E123</f>
        <v>543.79999999999995</v>
      </c>
    </row>
    <row r="124" spans="1:6" ht="60" x14ac:dyDescent="0.2">
      <c r="A124" s="4" t="s">
        <v>523</v>
      </c>
      <c r="B124" s="3" t="s">
        <v>386</v>
      </c>
      <c r="C124" s="3"/>
      <c r="D124" s="60">
        <f>D125+D131</f>
        <v>3394.3330000000001</v>
      </c>
      <c r="E124" s="60">
        <f t="shared" ref="E124:F124" si="58">E125+E131</f>
        <v>1375.6028799999999</v>
      </c>
      <c r="F124" s="60">
        <f t="shared" si="58"/>
        <v>4769.93588</v>
      </c>
    </row>
    <row r="125" spans="1:6" ht="24" x14ac:dyDescent="0.2">
      <c r="A125" s="4" t="s">
        <v>254</v>
      </c>
      <c r="B125" s="3" t="s">
        <v>255</v>
      </c>
      <c r="C125" s="3"/>
      <c r="D125" s="60">
        <f t="shared" ref="D125" si="59">D126+D128</f>
        <v>3378.114</v>
      </c>
      <c r="E125" s="60">
        <f>E126+E128</f>
        <v>1391.82188</v>
      </c>
      <c r="F125" s="60">
        <f>F126+F128</f>
        <v>4769.93588</v>
      </c>
    </row>
    <row r="126" spans="1:6" ht="24" x14ac:dyDescent="0.2">
      <c r="A126" s="4" t="s">
        <v>138</v>
      </c>
      <c r="B126" s="3" t="s">
        <v>136</v>
      </c>
      <c r="C126" s="3"/>
      <c r="D126" s="60">
        <f t="shared" ref="D126:F126" si="60">D127</f>
        <v>3095.6840000000002</v>
      </c>
      <c r="E126" s="60">
        <f t="shared" si="60"/>
        <v>791.72188000000006</v>
      </c>
      <c r="F126" s="60">
        <f t="shared" si="60"/>
        <v>3887.4058800000003</v>
      </c>
    </row>
    <row r="127" spans="1:6" ht="48" x14ac:dyDescent="0.2">
      <c r="A127" s="4" t="s">
        <v>38</v>
      </c>
      <c r="B127" s="3" t="s">
        <v>136</v>
      </c>
      <c r="C127" s="3" t="s">
        <v>34</v>
      </c>
      <c r="D127" s="60">
        <v>3095.6840000000002</v>
      </c>
      <c r="E127" s="60">
        <f>608.0818+183.64008</f>
        <v>791.72188000000006</v>
      </c>
      <c r="F127" s="60">
        <f>D127+E127</f>
        <v>3887.4058800000003</v>
      </c>
    </row>
    <row r="128" spans="1:6" ht="24" x14ac:dyDescent="0.2">
      <c r="A128" s="4" t="s">
        <v>137</v>
      </c>
      <c r="B128" s="3" t="s">
        <v>248</v>
      </c>
      <c r="C128" s="3"/>
      <c r="D128" s="60">
        <f t="shared" ref="D128:F128" si="61">D129+D130</f>
        <v>282.43</v>
      </c>
      <c r="E128" s="60">
        <f t="shared" si="61"/>
        <v>600.1</v>
      </c>
      <c r="F128" s="60">
        <f t="shared" si="61"/>
        <v>882.53</v>
      </c>
    </row>
    <row r="129" spans="1:9" ht="24" x14ac:dyDescent="0.2">
      <c r="A129" s="4" t="s">
        <v>47</v>
      </c>
      <c r="B129" s="3" t="s">
        <v>248</v>
      </c>
      <c r="C129" s="3" t="s">
        <v>51</v>
      </c>
      <c r="D129" s="60">
        <v>276.43</v>
      </c>
      <c r="E129" s="60">
        <f>600.1</f>
        <v>600.1</v>
      </c>
      <c r="F129" s="60">
        <f>D129+E129</f>
        <v>876.53</v>
      </c>
    </row>
    <row r="130" spans="1:9" ht="24" x14ac:dyDescent="0.2">
      <c r="A130" s="4" t="s">
        <v>73</v>
      </c>
      <c r="B130" s="3" t="s">
        <v>248</v>
      </c>
      <c r="C130" s="3" t="s">
        <v>80</v>
      </c>
      <c r="D130" s="60">
        <v>6</v>
      </c>
      <c r="E130" s="60"/>
      <c r="F130" s="60">
        <f>D130+E130</f>
        <v>6</v>
      </c>
    </row>
    <row r="131" spans="1:9" x14ac:dyDescent="0.2">
      <c r="A131" s="4" t="s">
        <v>545</v>
      </c>
      <c r="B131" s="3" t="s">
        <v>577</v>
      </c>
      <c r="C131" s="3"/>
      <c r="D131" s="60">
        <f>D132</f>
        <v>16.219000000000001</v>
      </c>
      <c r="E131" s="60">
        <f t="shared" ref="E131:F131" si="62">E132</f>
        <v>-16.219000000000001</v>
      </c>
      <c r="F131" s="60">
        <f t="shared" si="62"/>
        <v>0</v>
      </c>
    </row>
    <row r="132" spans="1:9" ht="48" x14ac:dyDescent="0.2">
      <c r="A132" s="4" t="s">
        <v>38</v>
      </c>
      <c r="B132" s="3" t="s">
        <v>577</v>
      </c>
      <c r="C132" s="3" t="s">
        <v>34</v>
      </c>
      <c r="D132" s="60">
        <v>16.219000000000001</v>
      </c>
      <c r="E132" s="60">
        <f>-12.457-3.762</f>
        <v>-16.219000000000001</v>
      </c>
      <c r="F132" s="60">
        <f>D132+E132</f>
        <v>0</v>
      </c>
    </row>
    <row r="133" spans="1:9" ht="48" x14ac:dyDescent="0.2">
      <c r="A133" s="4" t="s">
        <v>388</v>
      </c>
      <c r="B133" s="3" t="s">
        <v>12</v>
      </c>
      <c r="C133" s="3"/>
      <c r="D133" s="240">
        <f>D134+D151</f>
        <v>39735.499999999993</v>
      </c>
      <c r="E133" s="240">
        <f>E134+E151</f>
        <v>-397.99700000000001</v>
      </c>
      <c r="F133" s="240">
        <f>F134+F151</f>
        <v>39337.502999999997</v>
      </c>
    </row>
    <row r="134" spans="1:9" ht="36" x14ac:dyDescent="0.2">
      <c r="A134" s="4" t="s">
        <v>11</v>
      </c>
      <c r="B134" s="3" t="s">
        <v>10</v>
      </c>
      <c r="C134" s="3"/>
      <c r="D134" s="240">
        <f>D135+D137+D139+D141+D143+D145+D149+D147</f>
        <v>39135.399999999994</v>
      </c>
      <c r="E134" s="240">
        <f t="shared" ref="E134:F134" si="63">E135+E137+E139+E141+E143+E145+E149+E147</f>
        <v>202.10300000000001</v>
      </c>
      <c r="F134" s="240">
        <f t="shared" si="63"/>
        <v>39337.502999999997</v>
      </c>
    </row>
    <row r="135" spans="1:9" x14ac:dyDescent="0.2">
      <c r="A135" s="4" t="s">
        <v>389</v>
      </c>
      <c r="B135" s="3" t="s">
        <v>23</v>
      </c>
      <c r="C135" s="3"/>
      <c r="D135" s="240">
        <f>D136</f>
        <v>98</v>
      </c>
      <c r="E135" s="240">
        <f t="shared" ref="E135:F135" si="64">E136</f>
        <v>0</v>
      </c>
      <c r="F135" s="240">
        <f t="shared" si="64"/>
        <v>98</v>
      </c>
    </row>
    <row r="136" spans="1:9" x14ac:dyDescent="0.2">
      <c r="A136" s="4" t="s">
        <v>22</v>
      </c>
      <c r="B136" s="3" t="s">
        <v>23</v>
      </c>
      <c r="C136" s="3" t="s">
        <v>21</v>
      </c>
      <c r="D136" s="60">
        <v>98</v>
      </c>
      <c r="E136" s="240"/>
      <c r="F136" s="60">
        <f>D136+E136</f>
        <v>98</v>
      </c>
    </row>
    <row r="137" spans="1:9" ht="24" x14ac:dyDescent="0.2">
      <c r="A137" s="4" t="s">
        <v>17</v>
      </c>
      <c r="B137" s="3" t="s">
        <v>16</v>
      </c>
      <c r="C137" s="3"/>
      <c r="D137" s="240">
        <f t="shared" ref="D137:F137" si="65">D138</f>
        <v>20107</v>
      </c>
      <c r="E137" s="240">
        <f t="shared" si="65"/>
        <v>0</v>
      </c>
      <c r="F137" s="240">
        <f t="shared" si="65"/>
        <v>20107</v>
      </c>
    </row>
    <row r="138" spans="1:9" x14ac:dyDescent="0.2">
      <c r="A138" s="4" t="s">
        <v>8</v>
      </c>
      <c r="B138" s="3" t="s">
        <v>16</v>
      </c>
      <c r="C138" s="3" t="s">
        <v>5</v>
      </c>
      <c r="D138" s="60">
        <v>20107</v>
      </c>
      <c r="E138" s="240"/>
      <c r="F138" s="60">
        <f>D138+E138</f>
        <v>20107</v>
      </c>
    </row>
    <row r="139" spans="1:9" x14ac:dyDescent="0.2">
      <c r="A139" s="4" t="s">
        <v>9</v>
      </c>
      <c r="B139" s="3" t="s">
        <v>259</v>
      </c>
      <c r="C139" s="3"/>
      <c r="D139" s="60">
        <f t="shared" ref="D139:F139" si="66">D140</f>
        <v>1997</v>
      </c>
      <c r="E139" s="60">
        <f t="shared" si="66"/>
        <v>202.10300000000001</v>
      </c>
      <c r="F139" s="60">
        <f t="shared" si="66"/>
        <v>2199.1030000000001</v>
      </c>
      <c r="G139" s="2">
        <v>20</v>
      </c>
      <c r="H139" s="2">
        <v>177.10300000000001</v>
      </c>
      <c r="I139" s="2">
        <f>G139+H139</f>
        <v>197.10300000000001</v>
      </c>
    </row>
    <row r="140" spans="1:9" x14ac:dyDescent="0.2">
      <c r="A140" s="4" t="s">
        <v>8</v>
      </c>
      <c r="B140" s="3" t="s">
        <v>259</v>
      </c>
      <c r="C140" s="3" t="s">
        <v>5</v>
      </c>
      <c r="D140" s="60">
        <v>1997</v>
      </c>
      <c r="E140" s="60">
        <v>202.10300000000001</v>
      </c>
      <c r="F140" s="60">
        <f>D140+E140</f>
        <v>2199.1030000000001</v>
      </c>
      <c r="G140" s="2">
        <v>0</v>
      </c>
    </row>
    <row r="141" spans="1:9" ht="36" x14ac:dyDescent="0.2">
      <c r="A141" s="4" t="s">
        <v>345</v>
      </c>
      <c r="B141" s="3" t="s">
        <v>14</v>
      </c>
      <c r="C141" s="3"/>
      <c r="D141" s="240">
        <f t="shared" ref="D141:F141" si="67">D142</f>
        <v>5856.5</v>
      </c>
      <c r="E141" s="240">
        <f t="shared" si="67"/>
        <v>0</v>
      </c>
      <c r="F141" s="240">
        <f t="shared" si="67"/>
        <v>5856.5</v>
      </c>
    </row>
    <row r="142" spans="1:9" x14ac:dyDescent="0.2">
      <c r="A142" s="4" t="s">
        <v>8</v>
      </c>
      <c r="B142" s="3" t="s">
        <v>14</v>
      </c>
      <c r="C142" s="3" t="s">
        <v>5</v>
      </c>
      <c r="D142" s="60">
        <v>5856.5</v>
      </c>
      <c r="E142" s="240"/>
      <c r="F142" s="60">
        <f>D142+E142</f>
        <v>5856.5</v>
      </c>
    </row>
    <row r="143" spans="1:9" ht="36" x14ac:dyDescent="0.2">
      <c r="A143" s="4" t="s">
        <v>338</v>
      </c>
      <c r="B143" s="3" t="s">
        <v>396</v>
      </c>
      <c r="C143" s="3"/>
      <c r="D143" s="265">
        <f t="shared" ref="D143:F143" si="68">D144</f>
        <v>52.1</v>
      </c>
      <c r="E143" s="265">
        <f t="shared" si="68"/>
        <v>0</v>
      </c>
      <c r="F143" s="265">
        <f t="shared" si="68"/>
        <v>52.1</v>
      </c>
    </row>
    <row r="144" spans="1:9" ht="24" x14ac:dyDescent="0.2">
      <c r="A144" s="4" t="s">
        <v>47</v>
      </c>
      <c r="B144" s="3" t="s">
        <v>396</v>
      </c>
      <c r="C144" s="3" t="s">
        <v>51</v>
      </c>
      <c r="D144" s="60">
        <v>52.1</v>
      </c>
      <c r="E144" s="265"/>
      <c r="F144" s="60">
        <f>D144+E144</f>
        <v>52.1</v>
      </c>
    </row>
    <row r="145" spans="1:6" ht="48" x14ac:dyDescent="0.2">
      <c r="A145" s="4" t="s">
        <v>339</v>
      </c>
      <c r="B145" s="3" t="s">
        <v>397</v>
      </c>
      <c r="C145" s="3"/>
      <c r="D145" s="265">
        <f t="shared" ref="D145:F145" si="69">D146</f>
        <v>225.1</v>
      </c>
      <c r="E145" s="265">
        <f t="shared" si="69"/>
        <v>0</v>
      </c>
      <c r="F145" s="265">
        <f t="shared" si="69"/>
        <v>225.1</v>
      </c>
    </row>
    <row r="146" spans="1:6" ht="48" x14ac:dyDescent="0.2">
      <c r="A146" s="4" t="s">
        <v>38</v>
      </c>
      <c r="B146" s="3" t="s">
        <v>397</v>
      </c>
      <c r="C146" s="3" t="s">
        <v>34</v>
      </c>
      <c r="D146" s="60">
        <f>172.88786+52.21214</f>
        <v>225.1</v>
      </c>
      <c r="E146" s="265"/>
      <c r="F146" s="60">
        <f>D146+E146</f>
        <v>225.1</v>
      </c>
    </row>
    <row r="147" spans="1:6" x14ac:dyDescent="0.2">
      <c r="A147" s="7" t="s">
        <v>545</v>
      </c>
      <c r="B147" s="3" t="s">
        <v>576</v>
      </c>
      <c r="C147" s="3"/>
      <c r="D147" s="60">
        <f>D148</f>
        <v>10790.1</v>
      </c>
      <c r="E147" s="60">
        <f t="shared" ref="E147:F147" si="70">E148</f>
        <v>0</v>
      </c>
      <c r="F147" s="60">
        <f t="shared" si="70"/>
        <v>10790.1</v>
      </c>
    </row>
    <row r="148" spans="1:6" x14ac:dyDescent="0.2">
      <c r="A148" s="4" t="s">
        <v>8</v>
      </c>
      <c r="B148" s="3" t="s">
        <v>576</v>
      </c>
      <c r="C148" s="3" t="s">
        <v>5</v>
      </c>
      <c r="D148" s="60">
        <v>10790.1</v>
      </c>
      <c r="E148" s="269"/>
      <c r="F148" s="60">
        <f>D148+E148</f>
        <v>10790.1</v>
      </c>
    </row>
    <row r="149" spans="1:6" ht="36" x14ac:dyDescent="0.2">
      <c r="A149" s="4" t="s">
        <v>124</v>
      </c>
      <c r="B149" s="3" t="s">
        <v>522</v>
      </c>
      <c r="C149" s="3"/>
      <c r="D149" s="265">
        <f t="shared" ref="D149:F149" si="71">D150</f>
        <v>9.6</v>
      </c>
      <c r="E149" s="265">
        <f t="shared" si="71"/>
        <v>0</v>
      </c>
      <c r="F149" s="265">
        <f t="shared" si="71"/>
        <v>9.6</v>
      </c>
    </row>
    <row r="150" spans="1:6" ht="24" x14ac:dyDescent="0.2">
      <c r="A150" s="4" t="s">
        <v>47</v>
      </c>
      <c r="B150" s="3" t="s">
        <v>522</v>
      </c>
      <c r="C150" s="3" t="s">
        <v>51</v>
      </c>
      <c r="D150" s="60">
        <v>9.6</v>
      </c>
      <c r="E150" s="265"/>
      <c r="F150" s="60">
        <f>D150+E150</f>
        <v>9.6</v>
      </c>
    </row>
    <row r="151" spans="1:6" ht="36" x14ac:dyDescent="0.2">
      <c r="A151" s="7" t="s">
        <v>135</v>
      </c>
      <c r="B151" s="3" t="s">
        <v>256</v>
      </c>
      <c r="C151" s="3"/>
      <c r="D151" s="60">
        <f t="shared" ref="D151:F152" si="72">D152</f>
        <v>600.1</v>
      </c>
      <c r="E151" s="60">
        <f t="shared" si="72"/>
        <v>-600.1</v>
      </c>
      <c r="F151" s="60">
        <f t="shared" si="72"/>
        <v>0</v>
      </c>
    </row>
    <row r="152" spans="1:6" ht="24" x14ac:dyDescent="0.2">
      <c r="A152" s="7" t="s">
        <v>257</v>
      </c>
      <c r="B152" s="3" t="s">
        <v>226</v>
      </c>
      <c r="C152" s="3"/>
      <c r="D152" s="60">
        <f t="shared" si="72"/>
        <v>600.1</v>
      </c>
      <c r="E152" s="60">
        <f t="shared" si="72"/>
        <v>-600.1</v>
      </c>
      <c r="F152" s="60">
        <f t="shared" si="72"/>
        <v>0</v>
      </c>
    </row>
    <row r="153" spans="1:6" ht="24" x14ac:dyDescent="0.2">
      <c r="A153" s="7" t="s">
        <v>47</v>
      </c>
      <c r="B153" s="3" t="s">
        <v>226</v>
      </c>
      <c r="C153" s="3" t="s">
        <v>51</v>
      </c>
      <c r="D153" s="60">
        <v>600.1</v>
      </c>
      <c r="E153" s="60">
        <v>-600.1</v>
      </c>
      <c r="F153" s="60">
        <f>D153+E153</f>
        <v>0</v>
      </c>
    </row>
    <row r="154" spans="1:6" ht="48" x14ac:dyDescent="0.2">
      <c r="A154" s="4" t="s">
        <v>331</v>
      </c>
      <c r="B154" s="3" t="s">
        <v>234</v>
      </c>
      <c r="C154" s="3"/>
      <c r="D154" s="240">
        <f>D155+D161</f>
        <v>3261.7400000000002</v>
      </c>
      <c r="E154" s="240">
        <f t="shared" ref="E154" si="73">E155+E161</f>
        <v>146.07</v>
      </c>
      <c r="F154" s="240">
        <f>F155+F161</f>
        <v>3407.81</v>
      </c>
    </row>
    <row r="155" spans="1:6" ht="24" x14ac:dyDescent="0.2">
      <c r="A155" s="4" t="s">
        <v>332</v>
      </c>
      <c r="B155" s="3" t="s">
        <v>120</v>
      </c>
      <c r="C155" s="3"/>
      <c r="D155" s="240">
        <f t="shared" ref="D155" si="74">D156+D158</f>
        <v>3163.98</v>
      </c>
      <c r="E155" s="240">
        <f>E156+E158</f>
        <v>0</v>
      </c>
      <c r="F155" s="240">
        <f>F156+F158</f>
        <v>3163.98</v>
      </c>
    </row>
    <row r="156" spans="1:6" x14ac:dyDescent="0.2">
      <c r="A156" s="4" t="s">
        <v>227</v>
      </c>
      <c r="B156" s="3" t="s">
        <v>119</v>
      </c>
      <c r="C156" s="3"/>
      <c r="D156" s="240">
        <f t="shared" ref="D156:E156" si="75">D157</f>
        <v>3024.38</v>
      </c>
      <c r="E156" s="240">
        <f t="shared" si="75"/>
        <v>0</v>
      </c>
      <c r="F156" s="240">
        <f>F157</f>
        <v>3024.38</v>
      </c>
    </row>
    <row r="157" spans="1:6" ht="48.75" x14ac:dyDescent="0.25">
      <c r="A157" s="4" t="s">
        <v>38</v>
      </c>
      <c r="B157" s="3" t="s">
        <v>119</v>
      </c>
      <c r="C157" s="3">
        <v>100</v>
      </c>
      <c r="D157" s="271">
        <f>2307.51152+20+696.86848</f>
        <v>3024.38</v>
      </c>
      <c r="E157" s="272"/>
      <c r="F157" s="271">
        <f>D157+E157</f>
        <v>3024.38</v>
      </c>
    </row>
    <row r="158" spans="1:6" x14ac:dyDescent="0.2">
      <c r="A158" s="4" t="s">
        <v>228</v>
      </c>
      <c r="B158" s="3" t="s">
        <v>118</v>
      </c>
      <c r="C158" s="3"/>
      <c r="D158" s="240">
        <f t="shared" ref="D158" si="76">D159+D160</f>
        <v>139.6</v>
      </c>
      <c r="E158" s="240">
        <f>E159+E160</f>
        <v>0</v>
      </c>
      <c r="F158" s="240">
        <f>F159+F160</f>
        <v>139.6</v>
      </c>
    </row>
    <row r="159" spans="1:6" ht="24.75" x14ac:dyDescent="0.25">
      <c r="A159" s="4" t="s">
        <v>47</v>
      </c>
      <c r="B159" s="3" t="s">
        <v>118</v>
      </c>
      <c r="C159" s="3" t="s">
        <v>51</v>
      </c>
      <c r="D159" s="271">
        <v>125.85</v>
      </c>
      <c r="E159" s="272"/>
      <c r="F159" s="271">
        <f>D159+E159</f>
        <v>125.85</v>
      </c>
    </row>
    <row r="160" spans="1:6" ht="24.75" x14ac:dyDescent="0.25">
      <c r="A160" s="4" t="s">
        <v>73</v>
      </c>
      <c r="B160" s="3" t="s">
        <v>118</v>
      </c>
      <c r="C160" s="3" t="s">
        <v>80</v>
      </c>
      <c r="D160" s="271">
        <v>13.75</v>
      </c>
      <c r="E160" s="272"/>
      <c r="F160" s="271">
        <f>D160+E160</f>
        <v>13.75</v>
      </c>
    </row>
    <row r="161" spans="1:7" ht="15" x14ac:dyDescent="0.25">
      <c r="A161" s="4" t="s">
        <v>545</v>
      </c>
      <c r="B161" s="3" t="s">
        <v>556</v>
      </c>
      <c r="C161" s="3"/>
      <c r="D161" s="271">
        <f>D162</f>
        <v>97.76</v>
      </c>
      <c r="E161" s="271">
        <f t="shared" ref="E161:F161" si="77">E162</f>
        <v>146.07</v>
      </c>
      <c r="F161" s="271">
        <f t="shared" si="77"/>
        <v>243.82999999999998</v>
      </c>
    </row>
    <row r="162" spans="1:7" ht="48.75" x14ac:dyDescent="0.25">
      <c r="A162" s="4" t="s">
        <v>38</v>
      </c>
      <c r="B162" s="3" t="s">
        <v>556</v>
      </c>
      <c r="C162" s="3">
        <v>100</v>
      </c>
      <c r="D162" s="271">
        <v>97.76</v>
      </c>
      <c r="E162" s="272">
        <f>112.189+33.881</f>
        <v>146.07</v>
      </c>
      <c r="F162" s="271">
        <f t="shared" ref="F162" si="78">D162+E162</f>
        <v>243.82999999999998</v>
      </c>
    </row>
    <row r="163" spans="1:7" ht="48" x14ac:dyDescent="0.2">
      <c r="A163" s="7" t="s">
        <v>273</v>
      </c>
      <c r="B163" s="3" t="s">
        <v>95</v>
      </c>
      <c r="C163" s="3"/>
      <c r="D163" s="240">
        <f>D164+D169+D178+D174</f>
        <v>3914.9513399999996</v>
      </c>
      <c r="E163" s="240">
        <f t="shared" ref="E163:F163" si="79">E164+E169+E178+E174</f>
        <v>-15.4</v>
      </c>
      <c r="F163" s="240">
        <f t="shared" si="79"/>
        <v>3899.55134</v>
      </c>
    </row>
    <row r="164" spans="1:7" ht="48" x14ac:dyDescent="0.2">
      <c r="A164" s="4" t="s">
        <v>274</v>
      </c>
      <c r="B164" s="3" t="s">
        <v>275</v>
      </c>
      <c r="C164" s="3"/>
      <c r="D164" s="240">
        <f>D165+D167</f>
        <v>45.61224</v>
      </c>
      <c r="E164" s="240">
        <f t="shared" ref="E164:F164" si="80">E165+E167</f>
        <v>0</v>
      </c>
      <c r="F164" s="240">
        <f t="shared" si="80"/>
        <v>45.61224</v>
      </c>
    </row>
    <row r="165" spans="1:7" ht="24.75" x14ac:dyDescent="0.25">
      <c r="A165" s="4" t="s">
        <v>278</v>
      </c>
      <c r="B165" s="3" t="s">
        <v>114</v>
      </c>
      <c r="C165" s="3"/>
      <c r="D165" s="273">
        <f t="shared" ref="D165:F165" si="81">D166</f>
        <v>15</v>
      </c>
      <c r="E165" s="273">
        <f t="shared" si="81"/>
        <v>0</v>
      </c>
      <c r="F165" s="273">
        <f t="shared" si="81"/>
        <v>15</v>
      </c>
    </row>
    <row r="166" spans="1:7" ht="24.75" x14ac:dyDescent="0.25">
      <c r="A166" s="4" t="s">
        <v>47</v>
      </c>
      <c r="B166" s="3" t="s">
        <v>114</v>
      </c>
      <c r="C166" s="3">
        <v>200</v>
      </c>
      <c r="D166" s="271">
        <v>15</v>
      </c>
      <c r="E166" s="273">
        <v>0</v>
      </c>
      <c r="F166" s="271">
        <f>D166+E166</f>
        <v>15</v>
      </c>
    </row>
    <row r="167" spans="1:7" ht="36.75" x14ac:dyDescent="0.25">
      <c r="A167" s="4" t="s">
        <v>237</v>
      </c>
      <c r="B167" s="3" t="s">
        <v>400</v>
      </c>
      <c r="C167" s="3"/>
      <c r="D167" s="273">
        <f>D168</f>
        <v>30.61224</v>
      </c>
      <c r="E167" s="273">
        <f t="shared" ref="E167:F167" si="82">E168</f>
        <v>0</v>
      </c>
      <c r="F167" s="273">
        <f t="shared" si="82"/>
        <v>30.61224</v>
      </c>
    </row>
    <row r="168" spans="1:7" ht="15" x14ac:dyDescent="0.25">
      <c r="A168" s="4" t="s">
        <v>45</v>
      </c>
      <c r="B168" s="3" t="s">
        <v>112</v>
      </c>
      <c r="C168" s="3" t="s">
        <v>43</v>
      </c>
      <c r="D168" s="271">
        <v>30.61224</v>
      </c>
      <c r="E168" s="273"/>
      <c r="F168" s="271">
        <f>D168+E168</f>
        <v>30.61224</v>
      </c>
      <c r="G168" s="65"/>
    </row>
    <row r="169" spans="1:7" ht="36" x14ac:dyDescent="0.2">
      <c r="A169" s="4" t="s">
        <v>113</v>
      </c>
      <c r="B169" s="3" t="s">
        <v>279</v>
      </c>
      <c r="C169" s="3"/>
      <c r="D169" s="240">
        <f>D170+D172</f>
        <v>30.714289999999998</v>
      </c>
      <c r="E169" s="240">
        <f t="shared" ref="E169:F169" si="83">E170+E172</f>
        <v>-15.4</v>
      </c>
      <c r="F169" s="240">
        <f t="shared" si="83"/>
        <v>15.31429</v>
      </c>
    </row>
    <row r="170" spans="1:7" ht="36.75" x14ac:dyDescent="0.25">
      <c r="A170" s="4" t="s">
        <v>281</v>
      </c>
      <c r="B170" s="3" t="s">
        <v>280</v>
      </c>
      <c r="C170" s="3"/>
      <c r="D170" s="273">
        <f t="shared" ref="D170:F170" si="84">D171</f>
        <v>15</v>
      </c>
      <c r="E170" s="273">
        <f t="shared" si="84"/>
        <v>0.31429000000000001</v>
      </c>
      <c r="F170" s="273">
        <f t="shared" si="84"/>
        <v>15.31429</v>
      </c>
    </row>
    <row r="171" spans="1:7" ht="24.75" x14ac:dyDescent="0.25">
      <c r="A171" s="4" t="s">
        <v>47</v>
      </c>
      <c r="B171" s="3" t="s">
        <v>280</v>
      </c>
      <c r="C171" s="3">
        <v>200</v>
      </c>
      <c r="D171" s="271">
        <v>15</v>
      </c>
      <c r="E171" s="272">
        <f>0.31429</f>
        <v>0.31429000000000001</v>
      </c>
      <c r="F171" s="271">
        <f>D171+E171</f>
        <v>15.31429</v>
      </c>
    </row>
    <row r="172" spans="1:7" ht="60.75" x14ac:dyDescent="0.25">
      <c r="A172" s="4" t="s">
        <v>571</v>
      </c>
      <c r="B172" s="3" t="s">
        <v>572</v>
      </c>
      <c r="C172" s="3"/>
      <c r="D172" s="273">
        <f>D173</f>
        <v>15.71429</v>
      </c>
      <c r="E172" s="273">
        <f>E173</f>
        <v>-15.71429</v>
      </c>
      <c r="F172" s="273">
        <f>F173</f>
        <v>0</v>
      </c>
    </row>
    <row r="173" spans="1:7" ht="24.75" x14ac:dyDescent="0.25">
      <c r="A173" s="4" t="s">
        <v>47</v>
      </c>
      <c r="B173" s="3" t="s">
        <v>572</v>
      </c>
      <c r="C173" s="3">
        <v>200</v>
      </c>
      <c r="D173" s="271">
        <v>15.71429</v>
      </c>
      <c r="E173" s="272">
        <f>-15.4-0.31429</f>
        <v>-15.71429</v>
      </c>
      <c r="F173" s="271">
        <f>D173+E173</f>
        <v>0</v>
      </c>
    </row>
    <row r="174" spans="1:7" ht="24" x14ac:dyDescent="0.25">
      <c r="A174" s="7" t="s">
        <v>265</v>
      </c>
      <c r="B174" s="3" t="s">
        <v>391</v>
      </c>
      <c r="C174" s="3"/>
      <c r="D174" s="276">
        <f t="shared" ref="D174:F174" si="85">D175</f>
        <v>1209</v>
      </c>
      <c r="E174" s="276">
        <f t="shared" si="85"/>
        <v>0</v>
      </c>
      <c r="F174" s="276">
        <f t="shared" si="85"/>
        <v>1209</v>
      </c>
    </row>
    <row r="175" spans="1:7" ht="36" x14ac:dyDescent="0.25">
      <c r="A175" s="7" t="s">
        <v>266</v>
      </c>
      <c r="B175" s="3" t="s">
        <v>392</v>
      </c>
      <c r="C175" s="3"/>
      <c r="D175" s="276">
        <f>D176+D177</f>
        <v>1209</v>
      </c>
      <c r="E175" s="276">
        <f>E176+E177</f>
        <v>0</v>
      </c>
      <c r="F175" s="276">
        <f>F176+F177</f>
        <v>1209</v>
      </c>
    </row>
    <row r="176" spans="1:7" ht="48" x14ac:dyDescent="0.25">
      <c r="A176" s="7" t="s">
        <v>38</v>
      </c>
      <c r="B176" s="3" t="s">
        <v>392</v>
      </c>
      <c r="C176" s="3" t="s">
        <v>34</v>
      </c>
      <c r="D176" s="271">
        <f>774.9616+234.0384</f>
        <v>1009</v>
      </c>
      <c r="E176" s="276">
        <f>189.504+57.23021-189.504-57.23021</f>
        <v>0</v>
      </c>
      <c r="F176" s="271">
        <f>D176+E176</f>
        <v>1009</v>
      </c>
    </row>
    <row r="177" spans="1:6" ht="24" x14ac:dyDescent="0.25">
      <c r="A177" s="7" t="s">
        <v>47</v>
      </c>
      <c r="B177" s="3" t="s">
        <v>392</v>
      </c>
      <c r="C177" s="3" t="s">
        <v>51</v>
      </c>
      <c r="D177" s="271">
        <v>200</v>
      </c>
      <c r="E177" s="276"/>
      <c r="F177" s="271">
        <f>D177+E177</f>
        <v>200</v>
      </c>
    </row>
    <row r="178" spans="1:6" ht="48" x14ac:dyDescent="0.2">
      <c r="A178" s="4" t="s">
        <v>117</v>
      </c>
      <c r="B178" s="3" t="s">
        <v>277</v>
      </c>
      <c r="C178" s="3"/>
      <c r="D178" s="240">
        <f>D179+D181</f>
        <v>2629.6248099999998</v>
      </c>
      <c r="E178" s="240">
        <f>E179+E181</f>
        <v>0</v>
      </c>
      <c r="F178" s="240">
        <f t="shared" ref="F178" si="86">F179+F181</f>
        <v>2629.6248099999998</v>
      </c>
    </row>
    <row r="179" spans="1:6" ht="60" x14ac:dyDescent="0.25">
      <c r="A179" s="7" t="s">
        <v>401</v>
      </c>
      <c r="B179" s="3" t="s">
        <v>402</v>
      </c>
      <c r="C179" s="3"/>
      <c r="D179" s="273">
        <f>D180</f>
        <v>2201.0533799999998</v>
      </c>
      <c r="E179" s="273">
        <f t="shared" ref="E179:F179" si="87">E180</f>
        <v>0</v>
      </c>
      <c r="F179" s="273">
        <f t="shared" si="87"/>
        <v>2201.0533799999998</v>
      </c>
    </row>
    <row r="180" spans="1:6" ht="24.75" x14ac:dyDescent="0.25">
      <c r="A180" s="4" t="s">
        <v>47</v>
      </c>
      <c r="B180" s="3" t="s">
        <v>402</v>
      </c>
      <c r="C180" s="3" t="s">
        <v>51</v>
      </c>
      <c r="D180" s="271">
        <v>2201.0533799999998</v>
      </c>
      <c r="E180" s="273"/>
      <c r="F180" s="271">
        <f>D180+E180</f>
        <v>2201.0533799999998</v>
      </c>
    </row>
    <row r="181" spans="1:6" ht="48.75" x14ac:dyDescent="0.25">
      <c r="A181" s="4" t="s">
        <v>574</v>
      </c>
      <c r="B181" s="3" t="s">
        <v>575</v>
      </c>
      <c r="C181" s="3"/>
      <c r="D181" s="271">
        <f>D182+D183</f>
        <v>428.57143000000002</v>
      </c>
      <c r="E181" s="271">
        <f t="shared" ref="E181:F181" si="88">E182+E183</f>
        <v>0</v>
      </c>
      <c r="F181" s="271">
        <f t="shared" si="88"/>
        <v>428.57143000000002</v>
      </c>
    </row>
    <row r="182" spans="1:6" ht="24.75" x14ac:dyDescent="0.25">
      <c r="A182" s="4" t="s">
        <v>47</v>
      </c>
      <c r="B182" s="3" t="s">
        <v>575</v>
      </c>
      <c r="C182" s="3" t="s">
        <v>51</v>
      </c>
      <c r="D182" s="271"/>
      <c r="E182" s="273"/>
      <c r="F182" s="271">
        <f>D182+E182</f>
        <v>0</v>
      </c>
    </row>
    <row r="183" spans="1:6" ht="15" x14ac:dyDescent="0.25">
      <c r="A183" s="4" t="s">
        <v>8</v>
      </c>
      <c r="B183" s="3" t="s">
        <v>575</v>
      </c>
      <c r="C183" s="3" t="s">
        <v>5</v>
      </c>
      <c r="D183" s="271">
        <v>428.57143000000002</v>
      </c>
      <c r="E183" s="273"/>
      <c r="F183" s="271">
        <f>D183+E183</f>
        <v>428.57143000000002</v>
      </c>
    </row>
    <row r="184" spans="1:6" ht="48" x14ac:dyDescent="0.2">
      <c r="A184" s="4" t="s">
        <v>418</v>
      </c>
      <c r="B184" s="3" t="s">
        <v>91</v>
      </c>
      <c r="C184" s="3"/>
      <c r="D184" s="268">
        <f>D188+D205+D197+D185</f>
        <v>7140.4398000000001</v>
      </c>
      <c r="E184" s="268">
        <f>E188+E205+E197+E185</f>
        <v>1284.5999999999999</v>
      </c>
      <c r="F184" s="268">
        <f>F188+F205+F197+F185</f>
        <v>8425.0397999999986</v>
      </c>
    </row>
    <row r="185" spans="1:6" ht="24" x14ac:dyDescent="0.2">
      <c r="A185" s="4" t="s">
        <v>241</v>
      </c>
      <c r="B185" s="3" t="s">
        <v>267</v>
      </c>
      <c r="C185" s="3"/>
      <c r="D185" s="270">
        <f t="shared" ref="D185:F186" si="89">D186</f>
        <v>11</v>
      </c>
      <c r="E185" s="270">
        <f t="shared" si="89"/>
        <v>0</v>
      </c>
      <c r="F185" s="270">
        <f t="shared" si="89"/>
        <v>11</v>
      </c>
    </row>
    <row r="186" spans="1:6" ht="24" x14ac:dyDescent="0.2">
      <c r="A186" s="4" t="s">
        <v>294</v>
      </c>
      <c r="B186" s="3" t="s">
        <v>297</v>
      </c>
      <c r="C186" s="3"/>
      <c r="D186" s="270">
        <f t="shared" si="89"/>
        <v>11</v>
      </c>
      <c r="E186" s="270">
        <f t="shared" si="89"/>
        <v>0</v>
      </c>
      <c r="F186" s="270">
        <f t="shared" si="89"/>
        <v>11</v>
      </c>
    </row>
    <row r="187" spans="1:6" ht="24" x14ac:dyDescent="0.2">
      <c r="A187" s="4" t="s">
        <v>47</v>
      </c>
      <c r="B187" s="3" t="s">
        <v>297</v>
      </c>
      <c r="C187" s="3" t="s">
        <v>51</v>
      </c>
      <c r="D187" s="60">
        <v>11</v>
      </c>
      <c r="E187" s="60"/>
      <c r="F187" s="60">
        <f>D187+E187</f>
        <v>11</v>
      </c>
    </row>
    <row r="188" spans="1:6" ht="24" x14ac:dyDescent="0.2">
      <c r="A188" s="4" t="s">
        <v>298</v>
      </c>
      <c r="B188" s="3" t="s">
        <v>299</v>
      </c>
      <c r="C188" s="3"/>
      <c r="D188" s="265">
        <f>D189+D192+D195</f>
        <v>2953.5044900000003</v>
      </c>
      <c r="E188" s="265">
        <f>E189+E192+E195</f>
        <v>-40.900000000000048</v>
      </c>
      <c r="F188" s="265">
        <f>F189+F192+F195</f>
        <v>2912.6044899999997</v>
      </c>
    </row>
    <row r="189" spans="1:6" x14ac:dyDescent="0.2">
      <c r="A189" s="4" t="s">
        <v>423</v>
      </c>
      <c r="B189" s="3" t="s">
        <v>424</v>
      </c>
      <c r="C189" s="3"/>
      <c r="D189" s="265">
        <f>D191+D190</f>
        <v>872.08</v>
      </c>
      <c r="E189" s="265">
        <f t="shared" ref="E189:F189" si="90">E191+E190</f>
        <v>25.334489999999999</v>
      </c>
      <c r="F189" s="265">
        <f t="shared" si="90"/>
        <v>897.41449</v>
      </c>
    </row>
    <row r="190" spans="1:6" ht="24.75" x14ac:dyDescent="0.25">
      <c r="A190" s="4" t="s">
        <v>47</v>
      </c>
      <c r="B190" s="3" t="s">
        <v>424</v>
      </c>
      <c r="C190" s="3" t="s">
        <v>51</v>
      </c>
      <c r="D190" s="275"/>
      <c r="E190" s="275">
        <f>25.33449</f>
        <v>25.334489999999999</v>
      </c>
      <c r="F190" s="275">
        <f>D190+E190</f>
        <v>25.334489999999999</v>
      </c>
    </row>
    <row r="191" spans="1:6" ht="24" x14ac:dyDescent="0.2">
      <c r="A191" s="4" t="s">
        <v>73</v>
      </c>
      <c r="B191" s="3" t="s">
        <v>424</v>
      </c>
      <c r="C191" s="3" t="s">
        <v>80</v>
      </c>
      <c r="D191" s="60">
        <v>872.08</v>
      </c>
      <c r="E191" s="265"/>
      <c r="F191" s="60">
        <f>D191+E191</f>
        <v>872.08</v>
      </c>
    </row>
    <row r="192" spans="1:6" ht="48" x14ac:dyDescent="0.2">
      <c r="A192" s="7" t="s">
        <v>350</v>
      </c>
      <c r="B192" s="3" t="s">
        <v>526</v>
      </c>
      <c r="C192" s="3"/>
      <c r="D192" s="265">
        <f>D193+D194</f>
        <v>1290.7244900000001</v>
      </c>
      <c r="E192" s="265">
        <f t="shared" ref="E192:F192" si="91">E193+E194</f>
        <v>-66.234490000000051</v>
      </c>
      <c r="F192" s="265">
        <f t="shared" si="91"/>
        <v>1224.49</v>
      </c>
    </row>
    <row r="193" spans="1:7" ht="24.75" x14ac:dyDescent="0.25">
      <c r="A193" s="4" t="s">
        <v>47</v>
      </c>
      <c r="B193" s="3" t="s">
        <v>526</v>
      </c>
      <c r="C193" s="3" t="s">
        <v>51</v>
      </c>
      <c r="D193" s="271">
        <v>1290.7244900000001</v>
      </c>
      <c r="E193" s="275">
        <f>-40.9-25.33449-1224.49</f>
        <v>-1290.7244900000001</v>
      </c>
      <c r="F193" s="271">
        <f>D193+E193</f>
        <v>0</v>
      </c>
    </row>
    <row r="194" spans="1:7" ht="24.75" x14ac:dyDescent="0.25">
      <c r="A194" s="4" t="s">
        <v>73</v>
      </c>
      <c r="B194" s="3" t="s">
        <v>526</v>
      </c>
      <c r="C194" s="3" t="s">
        <v>80</v>
      </c>
      <c r="D194" s="271"/>
      <c r="E194" s="275">
        <f>1224.49</f>
        <v>1224.49</v>
      </c>
      <c r="F194" s="271">
        <f>D194+E194</f>
        <v>1224.49</v>
      </c>
    </row>
    <row r="195" spans="1:7" ht="60.75" x14ac:dyDescent="0.25">
      <c r="A195" s="4" t="s">
        <v>342</v>
      </c>
      <c r="B195" s="3" t="s">
        <v>93</v>
      </c>
      <c r="C195" s="3"/>
      <c r="D195" s="275">
        <f>D196</f>
        <v>790.7</v>
      </c>
      <c r="E195" s="275">
        <f t="shared" ref="E195:F195" si="92">E196</f>
        <v>0</v>
      </c>
      <c r="F195" s="275">
        <f t="shared" si="92"/>
        <v>790.7</v>
      </c>
    </row>
    <row r="196" spans="1:7" ht="24.75" x14ac:dyDescent="0.25">
      <c r="A196" s="4" t="s">
        <v>73</v>
      </c>
      <c r="B196" s="3" t="s">
        <v>93</v>
      </c>
      <c r="C196" s="3" t="s">
        <v>80</v>
      </c>
      <c r="D196" s="271">
        <v>790.7</v>
      </c>
      <c r="E196" s="275"/>
      <c r="F196" s="271">
        <f>D196+E196</f>
        <v>790.7</v>
      </c>
      <c r="G196" s="98"/>
    </row>
    <row r="197" spans="1:7" ht="24" x14ac:dyDescent="0.2">
      <c r="A197" s="4" t="s">
        <v>94</v>
      </c>
      <c r="B197" s="3" t="s">
        <v>421</v>
      </c>
      <c r="C197" s="3"/>
      <c r="D197" s="265">
        <f>D201+D198</f>
        <v>2739.4399999999996</v>
      </c>
      <c r="E197" s="265">
        <f>E201+E198</f>
        <v>550</v>
      </c>
      <c r="F197" s="265">
        <f>F201+F198</f>
        <v>3289.4399999999996</v>
      </c>
    </row>
    <row r="198" spans="1:7" ht="24" x14ac:dyDescent="0.2">
      <c r="A198" s="4" t="s">
        <v>422</v>
      </c>
      <c r="B198" s="3" t="s">
        <v>425</v>
      </c>
      <c r="C198" s="3"/>
      <c r="D198" s="265">
        <f>D200+D199</f>
        <v>1120.3399999999999</v>
      </c>
      <c r="E198" s="265">
        <f t="shared" ref="E198:F198" si="93">E200+E199</f>
        <v>550</v>
      </c>
      <c r="F198" s="265">
        <f t="shared" si="93"/>
        <v>1670.34</v>
      </c>
    </row>
    <row r="199" spans="1:7" ht="24.75" x14ac:dyDescent="0.25">
      <c r="A199" s="4" t="s">
        <v>47</v>
      </c>
      <c r="B199" s="3" t="s">
        <v>425</v>
      </c>
      <c r="C199" s="3" t="s">
        <v>51</v>
      </c>
      <c r="D199" s="271">
        <v>15</v>
      </c>
      <c r="E199" s="275">
        <f>300</f>
        <v>300</v>
      </c>
      <c r="F199" s="271">
        <f>D199+E199</f>
        <v>315</v>
      </c>
    </row>
    <row r="200" spans="1:7" ht="24.75" x14ac:dyDescent="0.25">
      <c r="A200" s="4" t="s">
        <v>70</v>
      </c>
      <c r="B200" s="3" t="s">
        <v>425</v>
      </c>
      <c r="C200" s="3" t="s">
        <v>69</v>
      </c>
      <c r="D200" s="275">
        <v>1105.3399999999999</v>
      </c>
      <c r="E200" s="275">
        <f>250</f>
        <v>250</v>
      </c>
      <c r="F200" s="275">
        <f>D200+E200</f>
        <v>1355.34</v>
      </c>
    </row>
    <row r="201" spans="1:7" ht="36" x14ac:dyDescent="0.2">
      <c r="A201" s="4" t="s">
        <v>296</v>
      </c>
      <c r="B201" s="3" t="s">
        <v>426</v>
      </c>
      <c r="C201" s="3"/>
      <c r="D201" s="265">
        <f>D202+D203+D204</f>
        <v>1619.1</v>
      </c>
      <c r="E201" s="265">
        <f t="shared" ref="E201:F201" si="94">E202+E203+E204</f>
        <v>0</v>
      </c>
      <c r="F201" s="265">
        <f t="shared" si="94"/>
        <v>1619.1</v>
      </c>
    </row>
    <row r="202" spans="1:7" ht="24.75" x14ac:dyDescent="0.25">
      <c r="A202" s="4" t="s">
        <v>47</v>
      </c>
      <c r="B202" s="3" t="s">
        <v>426</v>
      </c>
      <c r="C202" s="3" t="s">
        <v>51</v>
      </c>
      <c r="D202" s="271">
        <v>1619.1</v>
      </c>
      <c r="E202" s="275">
        <f>-142.5</f>
        <v>-142.5</v>
      </c>
      <c r="F202" s="271">
        <f>D202+E202</f>
        <v>1476.6</v>
      </c>
    </row>
    <row r="203" spans="1:7" ht="15" x14ac:dyDescent="0.25">
      <c r="A203" s="4" t="s">
        <v>8</v>
      </c>
      <c r="B203" s="3" t="s">
        <v>426</v>
      </c>
      <c r="C203" s="3" t="s">
        <v>5</v>
      </c>
      <c r="D203" s="271"/>
      <c r="E203" s="275">
        <v>120</v>
      </c>
      <c r="F203" s="271">
        <f>D203+E203</f>
        <v>120</v>
      </c>
    </row>
    <row r="204" spans="1:7" ht="24.75" x14ac:dyDescent="0.25">
      <c r="A204" s="4" t="s">
        <v>73</v>
      </c>
      <c r="B204" s="3" t="s">
        <v>426</v>
      </c>
      <c r="C204" s="3" t="s">
        <v>5</v>
      </c>
      <c r="D204" s="271"/>
      <c r="E204" s="275">
        <v>22.5</v>
      </c>
      <c r="F204" s="271">
        <f>D204+E204</f>
        <v>22.5</v>
      </c>
    </row>
    <row r="205" spans="1:7" ht="24" x14ac:dyDescent="0.2">
      <c r="A205" s="4" t="s">
        <v>229</v>
      </c>
      <c r="B205" s="3" t="s">
        <v>300</v>
      </c>
      <c r="C205" s="3"/>
      <c r="D205" s="240">
        <f>D206+D211+D209</f>
        <v>1436.49531</v>
      </c>
      <c r="E205" s="240">
        <f t="shared" ref="E205:F205" si="95">E206+E211+E209</f>
        <v>775.5</v>
      </c>
      <c r="F205" s="240">
        <f t="shared" si="95"/>
        <v>2211.9953100000002</v>
      </c>
    </row>
    <row r="206" spans="1:7" ht="24.75" x14ac:dyDescent="0.25">
      <c r="A206" s="4" t="s">
        <v>302</v>
      </c>
      <c r="B206" s="3" t="s">
        <v>301</v>
      </c>
      <c r="C206" s="3"/>
      <c r="D206" s="272">
        <f>D207+D208</f>
        <v>677.82</v>
      </c>
      <c r="E206" s="272">
        <f t="shared" ref="E206:F206" si="96">E207+E208</f>
        <v>0</v>
      </c>
      <c r="F206" s="272">
        <f t="shared" si="96"/>
        <v>677.82</v>
      </c>
    </row>
    <row r="207" spans="1:7" ht="24.75" x14ac:dyDescent="0.25">
      <c r="A207" s="4" t="s">
        <v>47</v>
      </c>
      <c r="B207" s="3" t="s">
        <v>301</v>
      </c>
      <c r="C207" s="3" t="s">
        <v>51</v>
      </c>
      <c r="D207" s="271">
        <v>677.82</v>
      </c>
      <c r="E207" s="272">
        <f>-191.388</f>
        <v>-191.38800000000001</v>
      </c>
      <c r="F207" s="271">
        <f>D207+E207</f>
        <v>486.43200000000002</v>
      </c>
      <c r="G207" s="65"/>
    </row>
    <row r="208" spans="1:7" ht="15" x14ac:dyDescent="0.25">
      <c r="A208" s="4" t="s">
        <v>8</v>
      </c>
      <c r="B208" s="3" t="s">
        <v>301</v>
      </c>
      <c r="C208" s="3" t="s">
        <v>5</v>
      </c>
      <c r="D208" s="271"/>
      <c r="E208" s="272">
        <v>191.38800000000001</v>
      </c>
      <c r="F208" s="271">
        <f>D208+E208</f>
        <v>191.38800000000001</v>
      </c>
      <c r="G208" s="262"/>
    </row>
    <row r="209" spans="1:7" ht="15" x14ac:dyDescent="0.25">
      <c r="A209" s="4" t="s">
        <v>613</v>
      </c>
      <c r="B209" s="3" t="s">
        <v>614</v>
      </c>
      <c r="C209" s="3"/>
      <c r="D209" s="272">
        <f>D210</f>
        <v>530</v>
      </c>
      <c r="E209" s="272">
        <f t="shared" ref="E209:F209" si="97">E210</f>
        <v>0</v>
      </c>
      <c r="F209" s="272">
        <f t="shared" si="97"/>
        <v>530</v>
      </c>
      <c r="G209" s="262"/>
    </row>
    <row r="210" spans="1:7" ht="24.75" x14ac:dyDescent="0.25">
      <c r="A210" s="4" t="s">
        <v>47</v>
      </c>
      <c r="B210" s="3" t="s">
        <v>614</v>
      </c>
      <c r="C210" s="3" t="s">
        <v>51</v>
      </c>
      <c r="D210" s="272">
        <v>530</v>
      </c>
      <c r="E210" s="272"/>
      <c r="F210" s="272">
        <f>D210+E210</f>
        <v>530</v>
      </c>
      <c r="G210" s="262"/>
    </row>
    <row r="211" spans="1:7" ht="36.75" x14ac:dyDescent="0.25">
      <c r="A211" s="4" t="s">
        <v>566</v>
      </c>
      <c r="B211" s="3" t="s">
        <v>565</v>
      </c>
      <c r="C211" s="3"/>
      <c r="D211" s="272">
        <f t="shared" ref="D211:F211" si="98">D212</f>
        <v>228.67531</v>
      </c>
      <c r="E211" s="272">
        <f t="shared" si="98"/>
        <v>775.5</v>
      </c>
      <c r="F211" s="272">
        <f t="shared" si="98"/>
        <v>1004.17531</v>
      </c>
      <c r="G211" s="262"/>
    </row>
    <row r="212" spans="1:7" ht="24.75" x14ac:dyDescent="0.25">
      <c r="A212" s="4" t="s">
        <v>47</v>
      </c>
      <c r="B212" s="3" t="s">
        <v>565</v>
      </c>
      <c r="C212" s="3" t="s">
        <v>51</v>
      </c>
      <c r="D212" s="271">
        <v>228.67531</v>
      </c>
      <c r="E212" s="272">
        <f>775.5</f>
        <v>775.5</v>
      </c>
      <c r="F212" s="271">
        <f>D212+E212</f>
        <v>1004.17531</v>
      </c>
      <c r="G212" s="262"/>
    </row>
    <row r="213" spans="1:7" ht="48.75" x14ac:dyDescent="0.25">
      <c r="A213" s="4" t="s">
        <v>403</v>
      </c>
      <c r="B213" s="3" t="s">
        <v>404</v>
      </c>
      <c r="C213" s="3"/>
      <c r="D213" s="273">
        <f>D214</f>
        <v>5551.8</v>
      </c>
      <c r="E213" s="273">
        <f t="shared" ref="E213:F213" si="99">E214</f>
        <v>0</v>
      </c>
      <c r="F213" s="273">
        <f t="shared" si="99"/>
        <v>5551.8</v>
      </c>
    </row>
    <row r="214" spans="1:7" ht="15" x14ac:dyDescent="0.25">
      <c r="A214" s="4" t="s">
        <v>570</v>
      </c>
      <c r="B214" s="3" t="s">
        <v>405</v>
      </c>
      <c r="C214" s="3"/>
      <c r="D214" s="273">
        <f>D215+D218</f>
        <v>5551.8</v>
      </c>
      <c r="E214" s="273">
        <f t="shared" ref="E214:F214" si="100">E215+E218</f>
        <v>0</v>
      </c>
      <c r="F214" s="273">
        <f t="shared" si="100"/>
        <v>5551.8</v>
      </c>
    </row>
    <row r="215" spans="1:7" ht="15" x14ac:dyDescent="0.25">
      <c r="A215" s="4" t="s">
        <v>569</v>
      </c>
      <c r="B215" s="3" t="s">
        <v>406</v>
      </c>
      <c r="C215" s="3"/>
      <c r="D215" s="273">
        <f>D216+D217</f>
        <v>5444.8</v>
      </c>
      <c r="E215" s="273">
        <f t="shared" ref="E215:F215" si="101">E216+E217</f>
        <v>0</v>
      </c>
      <c r="F215" s="273">
        <f t="shared" si="101"/>
        <v>5444.8</v>
      </c>
    </row>
    <row r="216" spans="1:7" ht="24.75" x14ac:dyDescent="0.25">
      <c r="A216" s="4" t="s">
        <v>47</v>
      </c>
      <c r="B216" s="3" t="s">
        <v>406</v>
      </c>
      <c r="C216" s="3" t="s">
        <v>51</v>
      </c>
      <c r="D216" s="271">
        <v>5177.5309999999999</v>
      </c>
      <c r="E216" s="272">
        <f>-5.2</f>
        <v>-5.2</v>
      </c>
      <c r="F216" s="271">
        <f>D216+E216</f>
        <v>5172.3310000000001</v>
      </c>
    </row>
    <row r="217" spans="1:7" x14ac:dyDescent="0.2">
      <c r="A217" s="4" t="s">
        <v>8</v>
      </c>
      <c r="B217" s="3" t="s">
        <v>406</v>
      </c>
      <c r="C217" s="3" t="s">
        <v>5</v>
      </c>
      <c r="D217" s="60">
        <v>267.26900000000001</v>
      </c>
      <c r="E217" s="60">
        <f>5.2</f>
        <v>5.2</v>
      </c>
      <c r="F217" s="60">
        <f>D217+E217</f>
        <v>272.46899999999999</v>
      </c>
    </row>
    <row r="218" spans="1:7" ht="24.75" x14ac:dyDescent="0.25">
      <c r="A218" s="4" t="s">
        <v>604</v>
      </c>
      <c r="B218" s="3" t="s">
        <v>568</v>
      </c>
      <c r="C218" s="3"/>
      <c r="D218" s="273">
        <f t="shared" ref="D218:F218" si="102">D219</f>
        <v>107</v>
      </c>
      <c r="E218" s="273">
        <f t="shared" si="102"/>
        <v>0</v>
      </c>
      <c r="F218" s="273">
        <f t="shared" si="102"/>
        <v>107</v>
      </c>
    </row>
    <row r="219" spans="1:7" ht="24.75" x14ac:dyDescent="0.25">
      <c r="A219" s="4" t="s">
        <v>47</v>
      </c>
      <c r="B219" s="3" t="s">
        <v>568</v>
      </c>
      <c r="C219" s="3" t="s">
        <v>51</v>
      </c>
      <c r="D219" s="271">
        <v>107</v>
      </c>
      <c r="E219" s="273"/>
      <c r="F219" s="271">
        <f>D219+E219</f>
        <v>107</v>
      </c>
    </row>
    <row r="220" spans="1:7" ht="48" x14ac:dyDescent="0.2">
      <c r="A220" s="4" t="s">
        <v>398</v>
      </c>
      <c r="B220" s="3" t="s">
        <v>433</v>
      </c>
      <c r="C220" s="3"/>
      <c r="D220" s="240">
        <f t="shared" ref="D220:F222" si="103">D221</f>
        <v>15</v>
      </c>
      <c r="E220" s="240">
        <f t="shared" si="103"/>
        <v>0</v>
      </c>
      <c r="F220" s="240">
        <f t="shared" si="103"/>
        <v>15</v>
      </c>
    </row>
    <row r="221" spans="1:7" ht="24" x14ac:dyDescent="0.2">
      <c r="A221" s="4" t="s">
        <v>399</v>
      </c>
      <c r="B221" s="3" t="s">
        <v>524</v>
      </c>
      <c r="C221" s="3"/>
      <c r="D221" s="240">
        <f t="shared" si="103"/>
        <v>15</v>
      </c>
      <c r="E221" s="240">
        <f t="shared" si="103"/>
        <v>0</v>
      </c>
      <c r="F221" s="240">
        <f t="shared" si="103"/>
        <v>15</v>
      </c>
    </row>
    <row r="222" spans="1:7" ht="24" x14ac:dyDescent="0.2">
      <c r="A222" s="4" t="s">
        <v>349</v>
      </c>
      <c r="B222" s="3" t="s">
        <v>525</v>
      </c>
      <c r="C222" s="3"/>
      <c r="D222" s="240">
        <f t="shared" si="103"/>
        <v>15</v>
      </c>
      <c r="E222" s="240">
        <f t="shared" si="103"/>
        <v>0</v>
      </c>
      <c r="F222" s="240">
        <f t="shared" si="103"/>
        <v>15</v>
      </c>
    </row>
    <row r="223" spans="1:7" ht="24" x14ac:dyDescent="0.2">
      <c r="A223" s="4" t="s">
        <v>47</v>
      </c>
      <c r="B223" s="3" t="s">
        <v>525</v>
      </c>
      <c r="C223" s="3" t="s">
        <v>51</v>
      </c>
      <c r="D223" s="60">
        <v>15</v>
      </c>
      <c r="E223" s="240"/>
      <c r="F223" s="60">
        <f>D223+E223</f>
        <v>15</v>
      </c>
    </row>
    <row r="224" spans="1:7" ht="72" x14ac:dyDescent="0.2">
      <c r="A224" s="4" t="s">
        <v>291</v>
      </c>
      <c r="B224" s="4" t="s">
        <v>608</v>
      </c>
      <c r="C224" s="4"/>
      <c r="D224" s="274">
        <f>D225+D231</f>
        <v>8064.7295100000001</v>
      </c>
      <c r="E224" s="274">
        <f>E225+E231</f>
        <v>1469.8599900000002</v>
      </c>
      <c r="F224" s="274">
        <f t="shared" ref="F224" si="104">F225+F231</f>
        <v>9534.5894999999982</v>
      </c>
    </row>
    <row r="225" spans="1:13" ht="36" x14ac:dyDescent="0.2">
      <c r="A225" s="4" t="s">
        <v>276</v>
      </c>
      <c r="B225" s="4" t="s">
        <v>609</v>
      </c>
      <c r="C225" s="4"/>
      <c r="D225" s="274">
        <f>D226+D228</f>
        <v>6860.38591</v>
      </c>
      <c r="E225" s="274">
        <f>E226+E228</f>
        <v>1301.5810000000001</v>
      </c>
      <c r="F225" s="274">
        <f>F226+F228</f>
        <v>8161.9669099999992</v>
      </c>
    </row>
    <row r="226" spans="1:13" ht="36.75" x14ac:dyDescent="0.25">
      <c r="A226" s="4" t="s">
        <v>235</v>
      </c>
      <c r="B226" s="4" t="s">
        <v>610</v>
      </c>
      <c r="C226" s="4"/>
      <c r="D226" s="275">
        <f t="shared" ref="D226:F226" si="105">D227</f>
        <v>3445.8595300000002</v>
      </c>
      <c r="E226" s="275">
        <f t="shared" si="105"/>
        <v>769.58100000000002</v>
      </c>
      <c r="F226" s="275">
        <f t="shared" si="105"/>
        <v>4215.4405299999999</v>
      </c>
    </row>
    <row r="227" spans="1:13" ht="48.75" x14ac:dyDescent="0.25">
      <c r="A227" s="4" t="s">
        <v>38</v>
      </c>
      <c r="B227" s="4" t="s">
        <v>610</v>
      </c>
      <c r="C227" s="4" t="s">
        <v>34</v>
      </c>
      <c r="D227" s="271">
        <v>3445.8595300000002</v>
      </c>
      <c r="E227" s="275">
        <f>591.076+178.505</f>
        <v>769.58100000000002</v>
      </c>
      <c r="F227" s="271">
        <f>D227+E227</f>
        <v>4215.4405299999999</v>
      </c>
    </row>
    <row r="228" spans="1:13" ht="24.75" x14ac:dyDescent="0.25">
      <c r="A228" s="4" t="s">
        <v>236</v>
      </c>
      <c r="B228" s="4" t="s">
        <v>611</v>
      </c>
      <c r="C228" s="4"/>
      <c r="D228" s="275">
        <f t="shared" ref="D228" si="106">D229+D230</f>
        <v>3414.5263799999998</v>
      </c>
      <c r="E228" s="275">
        <f>E229+E230</f>
        <v>532</v>
      </c>
      <c r="F228" s="275">
        <f>F229+F230</f>
        <v>3946.5263799999998</v>
      </c>
    </row>
    <row r="229" spans="1:13" ht="24.75" x14ac:dyDescent="0.25">
      <c r="A229" s="4" t="s">
        <v>47</v>
      </c>
      <c r="B229" s="4" t="s">
        <v>611</v>
      </c>
      <c r="C229" s="4" t="s">
        <v>51</v>
      </c>
      <c r="D229" s="271">
        <v>2844.9263799999999</v>
      </c>
      <c r="E229" s="275">
        <f>500+32</f>
        <v>532</v>
      </c>
      <c r="F229" s="271">
        <f>D229+E229</f>
        <v>3376.9263799999999</v>
      </c>
    </row>
    <row r="230" spans="1:13" ht="24.75" x14ac:dyDescent="0.25">
      <c r="A230" s="4" t="s">
        <v>73</v>
      </c>
      <c r="B230" s="4" t="s">
        <v>611</v>
      </c>
      <c r="C230" s="4" t="s">
        <v>80</v>
      </c>
      <c r="D230" s="271">
        <v>569.6</v>
      </c>
      <c r="E230" s="275"/>
      <c r="F230" s="271">
        <f>D230+E230</f>
        <v>569.6</v>
      </c>
    </row>
    <row r="231" spans="1:13" ht="15" x14ac:dyDescent="0.25">
      <c r="A231" s="4" t="s">
        <v>545</v>
      </c>
      <c r="B231" s="3" t="s">
        <v>612</v>
      </c>
      <c r="C231" s="3"/>
      <c r="D231" s="271">
        <f>D232</f>
        <v>1204.3435999999999</v>
      </c>
      <c r="E231" s="271">
        <f t="shared" ref="E231:F231" si="107">E232</f>
        <v>168.27899000000002</v>
      </c>
      <c r="F231" s="271">
        <f t="shared" si="107"/>
        <v>1372.6225899999999</v>
      </c>
    </row>
    <row r="232" spans="1:13" ht="48.75" x14ac:dyDescent="0.25">
      <c r="A232" s="4" t="s">
        <v>38</v>
      </c>
      <c r="B232" s="3" t="s">
        <v>612</v>
      </c>
      <c r="C232" s="3">
        <v>100</v>
      </c>
      <c r="D232" s="271">
        <v>1204.3435999999999</v>
      </c>
      <c r="E232" s="272">
        <f>129.24654+39.03245</f>
        <v>168.27899000000002</v>
      </c>
      <c r="F232" s="271">
        <f t="shared" ref="F232" si="108">D232+E232</f>
        <v>1372.6225899999999</v>
      </c>
    </row>
    <row r="233" spans="1:13" ht="48" x14ac:dyDescent="0.2">
      <c r="A233" s="4" t="s">
        <v>407</v>
      </c>
      <c r="B233" s="3" t="s">
        <v>408</v>
      </c>
      <c r="C233" s="3"/>
      <c r="D233" s="266">
        <f>D234</f>
        <v>13520.498</v>
      </c>
      <c r="E233" s="266">
        <f t="shared" ref="E233:F233" si="109">E234</f>
        <v>2579.3200999999999</v>
      </c>
      <c r="F233" s="266">
        <f t="shared" si="109"/>
        <v>16099.8181</v>
      </c>
    </row>
    <row r="234" spans="1:13" ht="36" x14ac:dyDescent="0.2">
      <c r="A234" s="4" t="s">
        <v>96</v>
      </c>
      <c r="B234" s="3" t="s">
        <v>409</v>
      </c>
      <c r="C234" s="3"/>
      <c r="D234" s="266">
        <f>D235+D238+D240</f>
        <v>13520.498</v>
      </c>
      <c r="E234" s="266">
        <f t="shared" ref="E234:F234" si="110">E235+E238+E240</f>
        <v>2579.3200999999999</v>
      </c>
      <c r="F234" s="266">
        <f t="shared" si="110"/>
        <v>16099.8181</v>
      </c>
    </row>
    <row r="235" spans="1:13" ht="36" x14ac:dyDescent="0.2">
      <c r="A235" s="4" t="s">
        <v>292</v>
      </c>
      <c r="B235" s="3" t="s">
        <v>410</v>
      </c>
      <c r="C235" s="3"/>
      <c r="D235" s="266">
        <f t="shared" ref="D235:F235" si="111">D236+D237</f>
        <v>13520.498</v>
      </c>
      <c r="E235" s="266">
        <f>E236+E237</f>
        <v>2220.3200999999999</v>
      </c>
      <c r="F235" s="266">
        <f t="shared" si="111"/>
        <v>15740.8181</v>
      </c>
    </row>
    <row r="236" spans="1:13" ht="24" x14ac:dyDescent="0.2">
      <c r="A236" s="4" t="s">
        <v>47</v>
      </c>
      <c r="B236" s="3" t="s">
        <v>410</v>
      </c>
      <c r="C236" s="3" t="s">
        <v>51</v>
      </c>
      <c r="D236" s="60">
        <v>12536.748</v>
      </c>
      <c r="E236" s="266">
        <f>1557.171+241.6811+76.878-100-259</f>
        <v>1516.7301</v>
      </c>
      <c r="F236" s="60">
        <f>D236+E236</f>
        <v>14053.4781</v>
      </c>
      <c r="G236" s="2"/>
      <c r="H236" s="9">
        <f>5175.6</f>
        <v>5175.6000000000004</v>
      </c>
      <c r="I236" s="2">
        <f>G236+H236</f>
        <v>5175.6000000000004</v>
      </c>
      <c r="J236" s="9"/>
      <c r="K236" s="9">
        <f>5175.6</f>
        <v>5175.6000000000004</v>
      </c>
      <c r="L236" s="2">
        <f>J236+K236</f>
        <v>5175.6000000000004</v>
      </c>
      <c r="M236" s="9">
        <f>5175.6</f>
        <v>5175.6000000000004</v>
      </c>
    </row>
    <row r="237" spans="1:13" ht="24" x14ac:dyDescent="0.2">
      <c r="A237" s="7" t="s">
        <v>73</v>
      </c>
      <c r="B237" s="3" t="s">
        <v>410</v>
      </c>
      <c r="C237" s="3" t="s">
        <v>80</v>
      </c>
      <c r="D237" s="60">
        <v>983.75</v>
      </c>
      <c r="E237" s="266">
        <v>703.59</v>
      </c>
      <c r="F237" s="60">
        <f>D237+E237</f>
        <v>1687.3400000000001</v>
      </c>
      <c r="G237" s="2"/>
      <c r="H237" s="9">
        <f>314.24</f>
        <v>314.24</v>
      </c>
      <c r="I237" s="2">
        <f>G237+H237</f>
        <v>314.24</v>
      </c>
      <c r="J237" s="9"/>
      <c r="K237" s="9">
        <f>314.24</f>
        <v>314.24</v>
      </c>
      <c r="L237" s="2">
        <f>J237+K237</f>
        <v>314.24</v>
      </c>
      <c r="M237" s="9">
        <f>314.24</f>
        <v>314.24</v>
      </c>
    </row>
    <row r="238" spans="1:13" x14ac:dyDescent="0.2">
      <c r="A238" s="4" t="s">
        <v>627</v>
      </c>
      <c r="B238" s="3" t="s">
        <v>628</v>
      </c>
      <c r="C238" s="3"/>
      <c r="D238" s="60">
        <f>D239</f>
        <v>0</v>
      </c>
      <c r="E238" s="60">
        <f t="shared" ref="E238:F240" si="112">E239</f>
        <v>100</v>
      </c>
      <c r="F238" s="60">
        <f t="shared" si="112"/>
        <v>100</v>
      </c>
      <c r="G238" s="102"/>
      <c r="H238" s="294"/>
      <c r="I238" s="102"/>
      <c r="J238" s="294"/>
      <c r="K238" s="294"/>
      <c r="L238" s="102"/>
      <c r="M238" s="294"/>
    </row>
    <row r="239" spans="1:13" ht="24" x14ac:dyDescent="0.2">
      <c r="A239" s="4" t="s">
        <v>73</v>
      </c>
      <c r="B239" s="3" t="s">
        <v>628</v>
      </c>
      <c r="C239" s="3" t="s">
        <v>80</v>
      </c>
      <c r="D239" s="60"/>
      <c r="E239" s="266">
        <v>100</v>
      </c>
      <c r="F239" s="60">
        <f>D239+E239</f>
        <v>100</v>
      </c>
      <c r="G239" s="102"/>
      <c r="H239" s="294"/>
      <c r="I239" s="102"/>
      <c r="J239" s="294"/>
      <c r="K239" s="294"/>
      <c r="L239" s="102"/>
      <c r="M239" s="294"/>
    </row>
    <row r="240" spans="1:13" ht="24" x14ac:dyDescent="0.2">
      <c r="A240" s="7" t="s">
        <v>667</v>
      </c>
      <c r="B240" s="3" t="s">
        <v>666</v>
      </c>
      <c r="C240" s="3"/>
      <c r="D240" s="60">
        <f>D241</f>
        <v>0</v>
      </c>
      <c r="E240" s="60">
        <f t="shared" si="112"/>
        <v>259</v>
      </c>
      <c r="F240" s="60">
        <f t="shared" si="112"/>
        <v>259</v>
      </c>
      <c r="G240" s="102"/>
      <c r="H240" s="294"/>
      <c r="I240" s="102"/>
      <c r="J240" s="294"/>
      <c r="K240" s="294"/>
      <c r="L240" s="102"/>
      <c r="M240" s="294"/>
    </row>
    <row r="241" spans="1:13" ht="24" x14ac:dyDescent="0.2">
      <c r="A241" s="4" t="s">
        <v>73</v>
      </c>
      <c r="B241" s="3" t="s">
        <v>666</v>
      </c>
      <c r="C241" s="3" t="s">
        <v>80</v>
      </c>
      <c r="D241" s="60"/>
      <c r="E241" s="266">
        <v>259</v>
      </c>
      <c r="F241" s="60">
        <f>D241+E241</f>
        <v>259</v>
      </c>
      <c r="G241" s="102"/>
      <c r="H241" s="294"/>
      <c r="I241" s="102"/>
      <c r="J241" s="294"/>
      <c r="K241" s="294"/>
      <c r="L241" s="102"/>
      <c r="M241" s="294"/>
    </row>
    <row r="242" spans="1:13" ht="48" x14ac:dyDescent="0.2">
      <c r="A242" s="4" t="s">
        <v>411</v>
      </c>
      <c r="B242" s="3" t="s">
        <v>412</v>
      </c>
      <c r="C242" s="3"/>
      <c r="D242" s="266">
        <f>D243</f>
        <v>1534.09</v>
      </c>
      <c r="E242" s="266">
        <f t="shared" ref="E242:F242" si="113">E243</f>
        <v>9</v>
      </c>
      <c r="F242" s="266">
        <f t="shared" si="113"/>
        <v>1543.09</v>
      </c>
    </row>
    <row r="243" spans="1:13" ht="24" x14ac:dyDescent="0.2">
      <c r="A243" s="4" t="s">
        <v>101</v>
      </c>
      <c r="B243" s="3" t="s">
        <v>413</v>
      </c>
      <c r="C243" s="3"/>
      <c r="D243" s="266">
        <f>D244</f>
        <v>1534.09</v>
      </c>
      <c r="E243" s="266">
        <f>E244</f>
        <v>9</v>
      </c>
      <c r="F243" s="266">
        <f>F244</f>
        <v>1543.09</v>
      </c>
    </row>
    <row r="244" spans="1:13" ht="24" x14ac:dyDescent="0.2">
      <c r="A244" s="4" t="s">
        <v>293</v>
      </c>
      <c r="B244" s="3" t="s">
        <v>414</v>
      </c>
      <c r="C244" s="3"/>
      <c r="D244" s="266">
        <f>D245+D246</f>
        <v>1534.09</v>
      </c>
      <c r="E244" s="266">
        <f t="shared" ref="E244:F244" si="114">E245+E246</f>
        <v>9</v>
      </c>
      <c r="F244" s="266">
        <f t="shared" si="114"/>
        <v>1543.09</v>
      </c>
    </row>
    <row r="245" spans="1:13" ht="24" x14ac:dyDescent="0.2">
      <c r="A245" s="4" t="s">
        <v>47</v>
      </c>
      <c r="B245" s="3" t="s">
        <v>414</v>
      </c>
      <c r="C245" s="3" t="s">
        <v>51</v>
      </c>
      <c r="D245" s="60">
        <v>1534.09</v>
      </c>
      <c r="E245" s="60">
        <f>-1184.46+9</f>
        <v>-1175.46</v>
      </c>
      <c r="F245" s="60">
        <f>D245+E245</f>
        <v>358.62999999999988</v>
      </c>
    </row>
    <row r="246" spans="1:13" x14ac:dyDescent="0.2">
      <c r="A246" s="4" t="s">
        <v>8</v>
      </c>
      <c r="B246" s="3" t="s">
        <v>414</v>
      </c>
      <c r="C246" s="3" t="s">
        <v>5</v>
      </c>
      <c r="D246" s="60"/>
      <c r="E246" s="60">
        <f>1184.46</f>
        <v>1184.46</v>
      </c>
      <c r="F246" s="60">
        <f>D246+E246</f>
        <v>1184.46</v>
      </c>
    </row>
    <row r="247" spans="1:13" ht="60" x14ac:dyDescent="0.2">
      <c r="A247" s="4" t="s">
        <v>381</v>
      </c>
      <c r="B247" s="3" t="s">
        <v>453</v>
      </c>
      <c r="C247" s="3"/>
      <c r="D247" s="60">
        <f>D248+D251</f>
        <v>1142.2</v>
      </c>
      <c r="E247" s="60">
        <f>E248+E251</f>
        <v>313.74801000000002</v>
      </c>
      <c r="F247" s="60">
        <f t="shared" ref="F247" si="115">F248+F251</f>
        <v>1455.9480100000001</v>
      </c>
    </row>
    <row r="248" spans="1:13" ht="24" x14ac:dyDescent="0.2">
      <c r="A248" s="4" t="s">
        <v>252</v>
      </c>
      <c r="B248" s="3" t="s">
        <v>454</v>
      </c>
      <c r="C248" s="3"/>
      <c r="D248" s="60">
        <f t="shared" ref="D248:F249" si="116">D249</f>
        <v>1107.46</v>
      </c>
      <c r="E248" s="60">
        <f t="shared" si="116"/>
        <v>348.48801000000003</v>
      </c>
      <c r="F248" s="60">
        <f t="shared" si="116"/>
        <v>1455.9480100000001</v>
      </c>
    </row>
    <row r="249" spans="1:13" ht="24" x14ac:dyDescent="0.2">
      <c r="A249" s="4" t="s">
        <v>82</v>
      </c>
      <c r="B249" s="3" t="s">
        <v>455</v>
      </c>
      <c r="C249" s="3"/>
      <c r="D249" s="60">
        <f t="shared" si="116"/>
        <v>1107.46</v>
      </c>
      <c r="E249" s="60">
        <f t="shared" si="116"/>
        <v>348.48801000000003</v>
      </c>
      <c r="F249" s="60">
        <f t="shared" si="116"/>
        <v>1455.9480100000001</v>
      </c>
    </row>
    <row r="250" spans="1:13" ht="48" x14ac:dyDescent="0.2">
      <c r="A250" s="4" t="s">
        <v>38</v>
      </c>
      <c r="B250" s="3" t="s">
        <v>455</v>
      </c>
      <c r="C250" s="3" t="s">
        <v>34</v>
      </c>
      <c r="D250" s="60">
        <f>820.584+286.876</f>
        <v>1107.46</v>
      </c>
      <c r="E250" s="60">
        <f>297.65564+50.83237</f>
        <v>348.48801000000003</v>
      </c>
      <c r="F250" s="60">
        <f>D250+E250</f>
        <v>1455.9480100000001</v>
      </c>
    </row>
    <row r="251" spans="1:13" x14ac:dyDescent="0.2">
      <c r="A251" s="4" t="s">
        <v>545</v>
      </c>
      <c r="B251" s="3" t="s">
        <v>554</v>
      </c>
      <c r="C251" s="3"/>
      <c r="D251" s="60">
        <f>D252</f>
        <v>34.739999999999995</v>
      </c>
      <c r="E251" s="60">
        <f t="shared" ref="E251:F251" si="117">E252</f>
        <v>-34.739999999999995</v>
      </c>
      <c r="F251" s="60">
        <f t="shared" si="117"/>
        <v>0</v>
      </c>
    </row>
    <row r="252" spans="1:13" ht="48" x14ac:dyDescent="0.2">
      <c r="A252" s="4" t="s">
        <v>38</v>
      </c>
      <c r="B252" s="3" t="s">
        <v>554</v>
      </c>
      <c r="C252" s="3" t="s">
        <v>34</v>
      </c>
      <c r="D252" s="60">
        <f>26.682+8.058</f>
        <v>34.739999999999995</v>
      </c>
      <c r="E252" s="60">
        <f>-26.682-8.058</f>
        <v>-34.739999999999995</v>
      </c>
      <c r="F252" s="60">
        <f>D252+E252</f>
        <v>0</v>
      </c>
    </row>
    <row r="253" spans="1:13" ht="48" x14ac:dyDescent="0.2">
      <c r="A253" s="4" t="s">
        <v>382</v>
      </c>
      <c r="B253" s="3" t="s">
        <v>456</v>
      </c>
      <c r="C253" s="3"/>
      <c r="D253" s="60">
        <f>D254+D260</f>
        <v>4160.3410000000003</v>
      </c>
      <c r="E253" s="60">
        <f t="shared" ref="E253:F253" si="118">E254+E260</f>
        <v>78.907809999999998</v>
      </c>
      <c r="F253" s="60">
        <f t="shared" si="118"/>
        <v>4239.24881</v>
      </c>
    </row>
    <row r="254" spans="1:13" ht="36" x14ac:dyDescent="0.2">
      <c r="A254" s="4" t="s">
        <v>253</v>
      </c>
      <c r="B254" s="3" t="s">
        <v>457</v>
      </c>
      <c r="C254" s="3"/>
      <c r="D254" s="60">
        <f>D255+D257</f>
        <v>3790.373</v>
      </c>
      <c r="E254" s="60">
        <f t="shared" ref="E254:F254" si="119">E255+E257</f>
        <v>190.00695999999999</v>
      </c>
      <c r="F254" s="60">
        <f t="shared" si="119"/>
        <v>3980.3799600000002</v>
      </c>
    </row>
    <row r="255" spans="1:13" ht="24" x14ac:dyDescent="0.2">
      <c r="A255" s="4" t="s">
        <v>82</v>
      </c>
      <c r="B255" s="3" t="s">
        <v>458</v>
      </c>
      <c r="C255" s="3"/>
      <c r="D255" s="60">
        <f t="shared" ref="D255:F255" si="120">D256</f>
        <v>1839.7329999999999</v>
      </c>
      <c r="E255" s="60">
        <f t="shared" si="120"/>
        <v>119.98121</v>
      </c>
      <c r="F255" s="60">
        <f t="shared" si="120"/>
        <v>1959.7142099999999</v>
      </c>
    </row>
    <row r="256" spans="1:13" ht="48" x14ac:dyDescent="0.2">
      <c r="A256" s="4" t="s">
        <v>38</v>
      </c>
      <c r="B256" s="3" t="s">
        <v>458</v>
      </c>
      <c r="C256" s="3" t="s">
        <v>34</v>
      </c>
      <c r="D256" s="60">
        <v>1839.7329999999999</v>
      </c>
      <c r="E256" s="60">
        <f>4.9+88.3884+26.69281</f>
        <v>119.98121</v>
      </c>
      <c r="F256" s="60">
        <f>D256+E256</f>
        <v>1959.7142099999999</v>
      </c>
    </row>
    <row r="257" spans="1:6" ht="24" x14ac:dyDescent="0.2">
      <c r="A257" s="4" t="s">
        <v>81</v>
      </c>
      <c r="B257" s="3" t="s">
        <v>459</v>
      </c>
      <c r="C257" s="3"/>
      <c r="D257" s="60">
        <f>D258+D259</f>
        <v>1950.64</v>
      </c>
      <c r="E257" s="60">
        <f>E258+E259</f>
        <v>70.025750000000002</v>
      </c>
      <c r="F257" s="60">
        <f t="shared" ref="F257" si="121">F258+F259</f>
        <v>2020.6657500000001</v>
      </c>
    </row>
    <row r="258" spans="1:6" ht="24" x14ac:dyDescent="0.2">
      <c r="A258" s="4" t="s">
        <v>47</v>
      </c>
      <c r="B258" s="3" t="s">
        <v>459</v>
      </c>
      <c r="C258" s="3" t="s">
        <v>51</v>
      </c>
      <c r="D258" s="60">
        <v>1937.4870000000001</v>
      </c>
      <c r="E258" s="60">
        <f>-8.4+34.58+40.57+3.27575</f>
        <v>70.025750000000002</v>
      </c>
      <c r="F258" s="60">
        <f>D258+E258</f>
        <v>2007.5127500000001</v>
      </c>
    </row>
    <row r="259" spans="1:6" ht="24" x14ac:dyDescent="0.2">
      <c r="A259" s="4" t="s">
        <v>73</v>
      </c>
      <c r="B259" s="3" t="s">
        <v>459</v>
      </c>
      <c r="C259" s="3" t="s">
        <v>80</v>
      </c>
      <c r="D259" s="60">
        <v>13.153</v>
      </c>
      <c r="E259" s="60"/>
      <c r="F259" s="60">
        <f>D259+E259</f>
        <v>13.153</v>
      </c>
    </row>
    <row r="260" spans="1:6" x14ac:dyDescent="0.2">
      <c r="A260" s="4" t="s">
        <v>545</v>
      </c>
      <c r="B260" s="3" t="s">
        <v>555</v>
      </c>
      <c r="C260" s="3"/>
      <c r="D260" s="60">
        <f t="shared" ref="D260:F260" si="122">D261</f>
        <v>369.96800000000002</v>
      </c>
      <c r="E260" s="60">
        <f t="shared" si="122"/>
        <v>-111.09914999999999</v>
      </c>
      <c r="F260" s="60">
        <f t="shared" si="122"/>
        <v>258.86885000000001</v>
      </c>
    </row>
    <row r="261" spans="1:6" ht="48" x14ac:dyDescent="0.2">
      <c r="A261" s="4" t="s">
        <v>38</v>
      </c>
      <c r="B261" s="3" t="s">
        <v>555</v>
      </c>
      <c r="C261" s="3" t="s">
        <v>34</v>
      </c>
      <c r="D261" s="60">
        <v>369.96800000000002</v>
      </c>
      <c r="E261" s="60">
        <f>-85.33-25.76915</f>
        <v>-111.09914999999999</v>
      </c>
      <c r="F261" s="60">
        <f>D261+E261</f>
        <v>258.86885000000001</v>
      </c>
    </row>
    <row r="262" spans="1:6" ht="60" x14ac:dyDescent="0.2">
      <c r="A262" s="4" t="s">
        <v>383</v>
      </c>
      <c r="B262" s="3" t="s">
        <v>460</v>
      </c>
      <c r="C262" s="3"/>
      <c r="D262" s="60">
        <f>D263+D268+D270</f>
        <v>10401.219000000001</v>
      </c>
      <c r="E262" s="60">
        <f t="shared" ref="E262:F262" si="123">E263+E268+E270</f>
        <v>14.055709999999999</v>
      </c>
      <c r="F262" s="60">
        <f t="shared" si="123"/>
        <v>10415.27471</v>
      </c>
    </row>
    <row r="263" spans="1:6" ht="24" x14ac:dyDescent="0.2">
      <c r="A263" s="73" t="s">
        <v>333</v>
      </c>
      <c r="B263" s="3" t="s">
        <v>461</v>
      </c>
      <c r="C263" s="3"/>
      <c r="D263" s="60">
        <f t="shared" ref="D263:F263" si="124">D264+D266</f>
        <v>3487.9670000000001</v>
      </c>
      <c r="E263" s="60">
        <f t="shared" si="124"/>
        <v>14.055709999999999</v>
      </c>
      <c r="F263" s="60">
        <f t="shared" si="124"/>
        <v>3502.0227100000002</v>
      </c>
    </row>
    <row r="264" spans="1:6" ht="24" x14ac:dyDescent="0.2">
      <c r="A264" s="4" t="s">
        <v>384</v>
      </c>
      <c r="B264" s="3" t="s">
        <v>462</v>
      </c>
      <c r="C264" s="3"/>
      <c r="D264" s="60">
        <f t="shared" ref="D264:F264" si="125">D265</f>
        <v>3127.9670000000001</v>
      </c>
      <c r="E264" s="60">
        <f t="shared" si="125"/>
        <v>3.5</v>
      </c>
      <c r="F264" s="60">
        <f t="shared" si="125"/>
        <v>3131.4670000000001</v>
      </c>
    </row>
    <row r="265" spans="1:6" ht="48" x14ac:dyDescent="0.2">
      <c r="A265" s="4" t="s">
        <v>38</v>
      </c>
      <c r="B265" s="3" t="s">
        <v>462</v>
      </c>
      <c r="C265" s="3" t="s">
        <v>34</v>
      </c>
      <c r="D265" s="60">
        <v>3127.9670000000001</v>
      </c>
      <c r="E265" s="60">
        <f>3.5</f>
        <v>3.5</v>
      </c>
      <c r="F265" s="60">
        <f>D265+E265</f>
        <v>3131.4670000000001</v>
      </c>
    </row>
    <row r="266" spans="1:6" x14ac:dyDescent="0.2">
      <c r="A266" s="4" t="s">
        <v>328</v>
      </c>
      <c r="B266" s="3" t="s">
        <v>463</v>
      </c>
      <c r="C266" s="3"/>
      <c r="D266" s="60">
        <f t="shared" ref="D266:F266" si="126">D267</f>
        <v>360</v>
      </c>
      <c r="E266" s="60">
        <f t="shared" si="126"/>
        <v>10.555709999999999</v>
      </c>
      <c r="F266" s="60">
        <f t="shared" si="126"/>
        <v>370.55570999999998</v>
      </c>
    </row>
    <row r="267" spans="1:6" ht="24" x14ac:dyDescent="0.2">
      <c r="A267" s="4" t="s">
        <v>47</v>
      </c>
      <c r="B267" s="3" t="s">
        <v>463</v>
      </c>
      <c r="C267" s="3" t="s">
        <v>51</v>
      </c>
      <c r="D267" s="60">
        <v>360</v>
      </c>
      <c r="E267" s="60">
        <v>10.555709999999999</v>
      </c>
      <c r="F267" s="60">
        <f>D267+E267</f>
        <v>370.55570999999998</v>
      </c>
    </row>
    <row r="268" spans="1:6" ht="108" x14ac:dyDescent="0.2">
      <c r="A268" s="4" t="s">
        <v>344</v>
      </c>
      <c r="B268" s="3" t="s">
        <v>464</v>
      </c>
      <c r="C268" s="3"/>
      <c r="D268" s="60">
        <f t="shared" ref="D268:F268" si="127">D269</f>
        <v>5827.1</v>
      </c>
      <c r="E268" s="60">
        <f t="shared" si="127"/>
        <v>0</v>
      </c>
      <c r="F268" s="60">
        <f t="shared" si="127"/>
        <v>5827.1</v>
      </c>
    </row>
    <row r="269" spans="1:6" ht="48" x14ac:dyDescent="0.2">
      <c r="A269" s="4" t="s">
        <v>38</v>
      </c>
      <c r="B269" s="3" t="s">
        <v>464</v>
      </c>
      <c r="C269" s="3" t="s">
        <v>34</v>
      </c>
      <c r="D269" s="60">
        <f>4475.499+1351.601</f>
        <v>5827.1</v>
      </c>
      <c r="E269" s="60"/>
      <c r="F269" s="60">
        <f>D269+E269</f>
        <v>5827.1</v>
      </c>
    </row>
    <row r="270" spans="1:6" x14ac:dyDescent="0.2">
      <c r="A270" s="4" t="s">
        <v>545</v>
      </c>
      <c r="B270" s="3" t="s">
        <v>553</v>
      </c>
      <c r="C270" s="3"/>
      <c r="D270" s="263">
        <f t="shared" ref="D270:F270" si="128">D271</f>
        <v>1086.152</v>
      </c>
      <c r="E270" s="263">
        <f t="shared" si="128"/>
        <v>0</v>
      </c>
      <c r="F270" s="263">
        <f t="shared" si="128"/>
        <v>1086.152</v>
      </c>
    </row>
    <row r="271" spans="1:6" ht="48" x14ac:dyDescent="0.2">
      <c r="A271" s="4" t="s">
        <v>38</v>
      </c>
      <c r="B271" s="3" t="s">
        <v>553</v>
      </c>
      <c r="C271" s="3" t="s">
        <v>34</v>
      </c>
      <c r="D271" s="60">
        <v>1086.152</v>
      </c>
      <c r="E271" s="263"/>
      <c r="F271" s="60">
        <f>D271+E271</f>
        <v>1086.152</v>
      </c>
    </row>
    <row r="272" spans="1:6" ht="36" x14ac:dyDescent="0.2">
      <c r="A272" s="4" t="s">
        <v>371</v>
      </c>
      <c r="B272" s="3" t="s">
        <v>439</v>
      </c>
      <c r="C272" s="3"/>
      <c r="D272" s="60">
        <f>D273+D291+D302+D308</f>
        <v>439164.21044000005</v>
      </c>
      <c r="E272" s="60">
        <f t="shared" ref="E272:F272" si="129">E273+E291+E302+E308</f>
        <v>27490.686100000014</v>
      </c>
      <c r="F272" s="60">
        <f t="shared" si="129"/>
        <v>466654.89653999999</v>
      </c>
    </row>
    <row r="273" spans="1:6" ht="36" x14ac:dyDescent="0.2">
      <c r="A273" s="4" t="s">
        <v>372</v>
      </c>
      <c r="B273" s="3" t="s">
        <v>438</v>
      </c>
      <c r="C273" s="3"/>
      <c r="D273" s="60">
        <f>D274+D282+D284+D278+D276+D280+D288+D286</f>
        <v>337586.89069000003</v>
      </c>
      <c r="E273" s="60">
        <f>E274+E282+E284+E278+E276+E280+E288+E286</f>
        <v>-2056.22334</v>
      </c>
      <c r="F273" s="60">
        <f>F274+F282+F284+F278+F276+F280+F288+F286</f>
        <v>335530.66735</v>
      </c>
    </row>
    <row r="274" spans="1:6" ht="36" x14ac:dyDescent="0.2">
      <c r="A274" s="4" t="s">
        <v>216</v>
      </c>
      <c r="B274" s="3" t="s">
        <v>440</v>
      </c>
      <c r="C274" s="3"/>
      <c r="D274" s="60">
        <f t="shared" ref="D274:F274" si="130">D275</f>
        <v>48281.650999999998</v>
      </c>
      <c r="E274" s="60">
        <f t="shared" si="130"/>
        <v>1817.50666</v>
      </c>
      <c r="F274" s="60">
        <f t="shared" si="130"/>
        <v>50099.157659999997</v>
      </c>
    </row>
    <row r="275" spans="1:6" ht="24" x14ac:dyDescent="0.2">
      <c r="A275" s="4" t="s">
        <v>29</v>
      </c>
      <c r="B275" s="3" t="s">
        <v>440</v>
      </c>
      <c r="C275" s="3" t="s">
        <v>26</v>
      </c>
      <c r="D275" s="60">
        <v>48281.650999999998</v>
      </c>
      <c r="E275" s="60">
        <f>53.9-84.17+25.11531+50+300+50+18.35+122.4+1290.91135-9</f>
        <v>1817.50666</v>
      </c>
      <c r="F275" s="60">
        <f>D275+E275</f>
        <v>50099.157659999997</v>
      </c>
    </row>
    <row r="276" spans="1:6" ht="36" x14ac:dyDescent="0.2">
      <c r="A276" s="4" t="s">
        <v>373</v>
      </c>
      <c r="B276" s="3" t="s">
        <v>441</v>
      </c>
      <c r="C276" s="3"/>
      <c r="D276" s="60">
        <f t="shared" ref="D276:F276" si="131">D277</f>
        <v>42001.97623</v>
      </c>
      <c r="E276" s="60">
        <f t="shared" si="131"/>
        <v>-3873.73</v>
      </c>
      <c r="F276" s="60">
        <f t="shared" si="131"/>
        <v>38128.246229999997</v>
      </c>
    </row>
    <row r="277" spans="1:6" ht="24" x14ac:dyDescent="0.2">
      <c r="A277" s="4" t="s">
        <v>29</v>
      </c>
      <c r="B277" s="3" t="s">
        <v>441</v>
      </c>
      <c r="C277" s="3" t="s">
        <v>26</v>
      </c>
      <c r="D277" s="60">
        <f>39180.75123+2821.225</f>
        <v>42001.97623</v>
      </c>
      <c r="E277" s="60">
        <f>-1256.29-2617.44</f>
        <v>-3873.73</v>
      </c>
      <c r="F277" s="60">
        <f>D277+E277</f>
        <v>38128.246229999997</v>
      </c>
    </row>
    <row r="278" spans="1:6" ht="36" x14ac:dyDescent="0.2">
      <c r="A278" s="7" t="s">
        <v>86</v>
      </c>
      <c r="B278" s="3" t="s">
        <v>442</v>
      </c>
      <c r="C278" s="3"/>
      <c r="D278" s="60">
        <f t="shared" ref="D278:F278" si="132">D279</f>
        <v>3200</v>
      </c>
      <c r="E278" s="60">
        <f t="shared" si="132"/>
        <v>0</v>
      </c>
      <c r="F278" s="60">
        <f t="shared" si="132"/>
        <v>3200</v>
      </c>
    </row>
    <row r="279" spans="1:6" ht="24" x14ac:dyDescent="0.2">
      <c r="A279" s="4" t="s">
        <v>29</v>
      </c>
      <c r="B279" s="3" t="s">
        <v>442</v>
      </c>
      <c r="C279" s="3" t="s">
        <v>26</v>
      </c>
      <c r="D279" s="60">
        <f>3002+198</f>
        <v>3200</v>
      </c>
      <c r="E279" s="60"/>
      <c r="F279" s="60">
        <f>D279+E279</f>
        <v>3200</v>
      </c>
    </row>
    <row r="280" spans="1:6" ht="48" x14ac:dyDescent="0.2">
      <c r="A280" s="4" t="s">
        <v>374</v>
      </c>
      <c r="B280" s="3" t="s">
        <v>443</v>
      </c>
      <c r="C280" s="3"/>
      <c r="D280" s="60">
        <f t="shared" ref="D280:F280" si="133">D281</f>
        <v>2802.9591799999998</v>
      </c>
      <c r="E280" s="60">
        <f t="shared" si="133"/>
        <v>0</v>
      </c>
      <c r="F280" s="60">
        <f t="shared" si="133"/>
        <v>2802.9591799999998</v>
      </c>
    </row>
    <row r="281" spans="1:6" ht="24" x14ac:dyDescent="0.2">
      <c r="A281" s="4" t="s">
        <v>29</v>
      </c>
      <c r="B281" s="3" t="s">
        <v>443</v>
      </c>
      <c r="C281" s="3" t="s">
        <v>26</v>
      </c>
      <c r="D281" s="60">
        <v>2802.9591799999998</v>
      </c>
      <c r="E281" s="60"/>
      <c r="F281" s="60">
        <f>D281+E281</f>
        <v>2802.9591799999998</v>
      </c>
    </row>
    <row r="282" spans="1:6" ht="96" x14ac:dyDescent="0.2">
      <c r="A282" s="4" t="s">
        <v>334</v>
      </c>
      <c r="B282" s="3" t="s">
        <v>444</v>
      </c>
      <c r="C282" s="3"/>
      <c r="D282" s="60">
        <f t="shared" ref="D282:F282" si="134">D283</f>
        <v>190380.69999999998</v>
      </c>
      <c r="E282" s="60">
        <f t="shared" si="134"/>
        <v>0</v>
      </c>
      <c r="F282" s="60">
        <f t="shared" si="134"/>
        <v>190380.69999999998</v>
      </c>
    </row>
    <row r="283" spans="1:6" ht="24" x14ac:dyDescent="0.2">
      <c r="A283" s="4" t="s">
        <v>29</v>
      </c>
      <c r="B283" s="3" t="s">
        <v>444</v>
      </c>
      <c r="C283" s="3" t="s">
        <v>26</v>
      </c>
      <c r="D283" s="60">
        <f>174491.3+15889.4</f>
        <v>190380.69999999998</v>
      </c>
      <c r="E283" s="60"/>
      <c r="F283" s="60">
        <f>D283+E283</f>
        <v>190380.69999999998</v>
      </c>
    </row>
    <row r="284" spans="1:6" ht="24" x14ac:dyDescent="0.2">
      <c r="A284" s="4" t="s">
        <v>233</v>
      </c>
      <c r="B284" s="3" t="s">
        <v>445</v>
      </c>
      <c r="C284" s="3"/>
      <c r="D284" s="60">
        <f t="shared" ref="D284:F284" si="135">D285</f>
        <v>1126.83673</v>
      </c>
      <c r="E284" s="60">
        <f t="shared" si="135"/>
        <v>0</v>
      </c>
      <c r="F284" s="60">
        <f t="shared" si="135"/>
        <v>1126.83673</v>
      </c>
    </row>
    <row r="285" spans="1:6" ht="24" x14ac:dyDescent="0.2">
      <c r="A285" s="4" t="s">
        <v>29</v>
      </c>
      <c r="B285" s="3" t="s">
        <v>445</v>
      </c>
      <c r="C285" s="3" t="s">
        <v>26</v>
      </c>
      <c r="D285" s="60">
        <v>1126.83673</v>
      </c>
      <c r="E285" s="60"/>
      <c r="F285" s="60">
        <f>D285+E285</f>
        <v>1126.83673</v>
      </c>
    </row>
    <row r="286" spans="1:6" x14ac:dyDescent="0.2">
      <c r="A286" s="4" t="s">
        <v>545</v>
      </c>
      <c r="B286" s="3" t="s">
        <v>551</v>
      </c>
      <c r="C286" s="3"/>
      <c r="D286" s="60">
        <f t="shared" ref="D286:F286" si="136">D287</f>
        <v>44737.867549999995</v>
      </c>
      <c r="E286" s="60">
        <f t="shared" si="136"/>
        <v>0</v>
      </c>
      <c r="F286" s="60">
        <f t="shared" si="136"/>
        <v>44737.867549999995</v>
      </c>
    </row>
    <row r="287" spans="1:6" ht="24" x14ac:dyDescent="0.2">
      <c r="A287" s="4" t="s">
        <v>29</v>
      </c>
      <c r="B287" s="3" t="s">
        <v>551</v>
      </c>
      <c r="C287" s="3" t="s">
        <v>26</v>
      </c>
      <c r="D287" s="60">
        <f>41847.19755+2890.67</f>
        <v>44737.867549999995</v>
      </c>
      <c r="E287" s="60"/>
      <c r="F287" s="60">
        <f>D287+E287</f>
        <v>44737.867549999995</v>
      </c>
    </row>
    <row r="288" spans="1:6" ht="48" x14ac:dyDescent="0.2">
      <c r="A288" s="4" t="s">
        <v>336</v>
      </c>
      <c r="B288" s="3" t="s">
        <v>465</v>
      </c>
      <c r="C288" s="3"/>
      <c r="D288" s="60">
        <f t="shared" ref="D288:F288" si="137">D290+D289</f>
        <v>5054.8999999999996</v>
      </c>
      <c r="E288" s="60">
        <f t="shared" si="137"/>
        <v>0</v>
      </c>
      <c r="F288" s="60">
        <f t="shared" si="137"/>
        <v>5054.8999999999996</v>
      </c>
    </row>
    <row r="289" spans="1:6" ht="24" x14ac:dyDescent="0.2">
      <c r="A289" s="4" t="s">
        <v>47</v>
      </c>
      <c r="B289" s="3" t="s">
        <v>465</v>
      </c>
      <c r="C289" s="3" t="s">
        <v>51</v>
      </c>
      <c r="D289" s="60">
        <v>15.21</v>
      </c>
      <c r="E289" s="60"/>
      <c r="F289" s="60">
        <f>D289+E289</f>
        <v>15.21</v>
      </c>
    </row>
    <row r="290" spans="1:6" x14ac:dyDescent="0.2">
      <c r="A290" s="4" t="s">
        <v>45</v>
      </c>
      <c r="B290" s="3" t="s">
        <v>465</v>
      </c>
      <c r="C290" s="3" t="s">
        <v>43</v>
      </c>
      <c r="D290" s="60">
        <v>5039.6899999999996</v>
      </c>
      <c r="E290" s="60"/>
      <c r="F290" s="60">
        <f>D290+E290</f>
        <v>5039.6899999999996</v>
      </c>
    </row>
    <row r="291" spans="1:6" ht="36" x14ac:dyDescent="0.2">
      <c r="A291" s="4" t="s">
        <v>375</v>
      </c>
      <c r="B291" s="3" t="s">
        <v>446</v>
      </c>
      <c r="C291" s="3"/>
      <c r="D291" s="60">
        <f>D292+D298+D296+D300</f>
        <v>101577.31975</v>
      </c>
      <c r="E291" s="60">
        <f t="shared" ref="E291:F291" si="138">E292+E298+E296+E300</f>
        <v>-66027.220329999996</v>
      </c>
      <c r="F291" s="60">
        <f t="shared" si="138"/>
        <v>35550.099419999999</v>
      </c>
    </row>
    <row r="292" spans="1:6" ht="24" x14ac:dyDescent="0.2">
      <c r="A292" s="7" t="s">
        <v>605</v>
      </c>
      <c r="B292" s="3" t="s">
        <v>447</v>
      </c>
      <c r="C292" s="3"/>
      <c r="D292" s="240">
        <f>D294+D293+D295</f>
        <v>2803.3126699999998</v>
      </c>
      <c r="E292" s="240">
        <f>E294+E293+E295</f>
        <v>-2282.8452499999999</v>
      </c>
      <c r="F292" s="240">
        <f>F294+F293+F295</f>
        <v>520.46741999999995</v>
      </c>
    </row>
    <row r="293" spans="1:6" ht="24" x14ac:dyDescent="0.2">
      <c r="A293" s="4" t="s">
        <v>47</v>
      </c>
      <c r="B293" s="3" t="s">
        <v>447</v>
      </c>
      <c r="C293" s="3" t="s">
        <v>51</v>
      </c>
      <c r="D293" s="60">
        <v>615</v>
      </c>
      <c r="E293" s="240">
        <f>-94.53258</f>
        <v>-94.532579999999996</v>
      </c>
      <c r="F293" s="60">
        <f>D293+E293</f>
        <v>520.46741999999995</v>
      </c>
    </row>
    <row r="294" spans="1:6" ht="24" x14ac:dyDescent="0.2">
      <c r="A294" s="7" t="s">
        <v>70</v>
      </c>
      <c r="B294" s="3" t="s">
        <v>447</v>
      </c>
      <c r="C294" s="3" t="s">
        <v>69</v>
      </c>
      <c r="D294" s="60"/>
      <c r="E294" s="240"/>
      <c r="F294" s="60">
        <f>D294+E294</f>
        <v>0</v>
      </c>
    </row>
    <row r="295" spans="1:6" ht="24" x14ac:dyDescent="0.2">
      <c r="A295" s="4" t="s">
        <v>29</v>
      </c>
      <c r="B295" s="3" t="s">
        <v>447</v>
      </c>
      <c r="C295" s="3" t="s">
        <v>26</v>
      </c>
      <c r="D295" s="60">
        <v>2188.3126699999998</v>
      </c>
      <c r="E295" s="60">
        <f>-2188.31267</f>
        <v>-2188.3126699999998</v>
      </c>
      <c r="F295" s="240">
        <f>D295+E295</f>
        <v>0</v>
      </c>
    </row>
    <row r="296" spans="1:6" ht="36" x14ac:dyDescent="0.2">
      <c r="A296" s="4" t="s">
        <v>376</v>
      </c>
      <c r="B296" s="3" t="s">
        <v>552</v>
      </c>
      <c r="C296" s="3"/>
      <c r="D296" s="60">
        <f t="shared" ref="D296:F296" si="139">D297</f>
        <v>4833.5703100000001</v>
      </c>
      <c r="E296" s="60">
        <f t="shared" si="139"/>
        <v>-4833.5703100000001</v>
      </c>
      <c r="F296" s="60">
        <f t="shared" si="139"/>
        <v>0</v>
      </c>
    </row>
    <row r="297" spans="1:6" ht="24" x14ac:dyDescent="0.2">
      <c r="A297" s="4" t="s">
        <v>29</v>
      </c>
      <c r="B297" s="3" t="s">
        <v>552</v>
      </c>
      <c r="C297" s="3" t="s">
        <v>26</v>
      </c>
      <c r="D297" s="60">
        <v>4833.5703100000001</v>
      </c>
      <c r="E297" s="60">
        <f>-2201.97031-2631.6</f>
        <v>-4833.5703100000001</v>
      </c>
      <c r="F297" s="60">
        <f>D297+E297</f>
        <v>0</v>
      </c>
    </row>
    <row r="298" spans="1:6" ht="60" x14ac:dyDescent="0.2">
      <c r="A298" s="7" t="s">
        <v>558</v>
      </c>
      <c r="B298" s="3" t="s">
        <v>559</v>
      </c>
      <c r="C298" s="3"/>
      <c r="D298" s="60">
        <f>D299</f>
        <v>89308.36735</v>
      </c>
      <c r="E298" s="60">
        <f t="shared" ref="E298:F298" si="140">E299</f>
        <v>-89308.36735</v>
      </c>
      <c r="F298" s="60">
        <f t="shared" si="140"/>
        <v>0</v>
      </c>
    </row>
    <row r="299" spans="1:6" ht="24" x14ac:dyDescent="0.2">
      <c r="A299" s="7" t="s">
        <v>70</v>
      </c>
      <c r="B299" s="3" t="s">
        <v>559</v>
      </c>
      <c r="C299" s="3" t="s">
        <v>69</v>
      </c>
      <c r="D299" s="60">
        <v>89308.36735</v>
      </c>
      <c r="E299" s="60">
        <v>-89308.36735</v>
      </c>
      <c r="F299" s="60">
        <f>D299+E299</f>
        <v>0</v>
      </c>
    </row>
    <row r="300" spans="1:6" ht="36" x14ac:dyDescent="0.2">
      <c r="A300" s="4" t="s">
        <v>624</v>
      </c>
      <c r="B300" s="3" t="s">
        <v>625</v>
      </c>
      <c r="C300" s="3"/>
      <c r="D300" s="240">
        <f t="shared" ref="D300:F300" si="141">D301</f>
        <v>4632.0694199999998</v>
      </c>
      <c r="E300" s="240">
        <f t="shared" si="141"/>
        <v>30397.562579999998</v>
      </c>
      <c r="F300" s="240">
        <f t="shared" si="141"/>
        <v>35029.631999999998</v>
      </c>
    </row>
    <row r="301" spans="1:6" ht="24" x14ac:dyDescent="0.2">
      <c r="A301" s="7" t="s">
        <v>70</v>
      </c>
      <c r="B301" s="3" t="s">
        <v>625</v>
      </c>
      <c r="C301" s="3" t="s">
        <v>69</v>
      </c>
      <c r="D301" s="60">
        <v>4632.0694199999998</v>
      </c>
      <c r="E301" s="240">
        <f>30094.53258+303.03</f>
        <v>30397.562579999998</v>
      </c>
      <c r="F301" s="60">
        <f>D301+E301</f>
        <v>35029.631999999998</v>
      </c>
    </row>
    <row r="302" spans="1:6" ht="36" x14ac:dyDescent="0.2">
      <c r="A302" s="7" t="s">
        <v>650</v>
      </c>
      <c r="B302" s="3" t="s">
        <v>649</v>
      </c>
      <c r="C302" s="3"/>
      <c r="D302" s="60">
        <f>D303+D306</f>
        <v>0</v>
      </c>
      <c r="E302" s="60">
        <f t="shared" ref="E302:F302" si="142">E303+E306</f>
        <v>90740.609250000009</v>
      </c>
      <c r="F302" s="60">
        <f t="shared" si="142"/>
        <v>90740.609250000009</v>
      </c>
    </row>
    <row r="303" spans="1:6" ht="24" x14ac:dyDescent="0.2">
      <c r="A303" s="7" t="s">
        <v>651</v>
      </c>
      <c r="B303" s="3" t="s">
        <v>652</v>
      </c>
      <c r="C303" s="3"/>
      <c r="D303" s="60">
        <f>D305+D304</f>
        <v>0</v>
      </c>
      <c r="E303" s="60">
        <f t="shared" ref="E303:F303" si="143">E305+E304</f>
        <v>2334.2910699999998</v>
      </c>
      <c r="F303" s="60">
        <f t="shared" si="143"/>
        <v>2334.2910699999998</v>
      </c>
    </row>
    <row r="304" spans="1:6" ht="24" x14ac:dyDescent="0.2">
      <c r="A304" s="4" t="s">
        <v>47</v>
      </c>
      <c r="B304" s="3" t="s">
        <v>652</v>
      </c>
      <c r="C304" s="3" t="s">
        <v>51</v>
      </c>
      <c r="D304" s="60"/>
      <c r="E304" s="60">
        <f>145.9784</f>
        <v>145.97839999999999</v>
      </c>
      <c r="F304" s="60">
        <f>D304+E304</f>
        <v>145.97839999999999</v>
      </c>
    </row>
    <row r="305" spans="1:6" ht="24" x14ac:dyDescent="0.2">
      <c r="A305" s="4" t="s">
        <v>47</v>
      </c>
      <c r="B305" s="3" t="s">
        <v>652</v>
      </c>
      <c r="C305" s="3" t="s">
        <v>26</v>
      </c>
      <c r="D305" s="60"/>
      <c r="E305" s="60">
        <f>2188.31267</f>
        <v>2188.3126699999998</v>
      </c>
      <c r="F305" s="60">
        <f>D305+E305</f>
        <v>2188.3126699999998</v>
      </c>
    </row>
    <row r="306" spans="1:6" ht="60" x14ac:dyDescent="0.2">
      <c r="A306" s="7" t="s">
        <v>558</v>
      </c>
      <c r="B306" s="3" t="s">
        <v>629</v>
      </c>
      <c r="C306" s="3"/>
      <c r="D306" s="60">
        <f>D307</f>
        <v>0</v>
      </c>
      <c r="E306" s="60">
        <f t="shared" ref="E306:F306" si="144">E307</f>
        <v>88406.318180000002</v>
      </c>
      <c r="F306" s="60">
        <f t="shared" si="144"/>
        <v>88406.318180000002</v>
      </c>
    </row>
    <row r="307" spans="1:6" ht="24" x14ac:dyDescent="0.2">
      <c r="A307" s="7" t="s">
        <v>70</v>
      </c>
      <c r="B307" s="3" t="s">
        <v>629</v>
      </c>
      <c r="C307" s="3" t="s">
        <v>69</v>
      </c>
      <c r="D307" s="60"/>
      <c r="E307" s="60">
        <f>87522.255+884.06318</f>
        <v>88406.318180000002</v>
      </c>
      <c r="F307" s="60">
        <f>D307+E307</f>
        <v>88406.318180000002</v>
      </c>
    </row>
    <row r="308" spans="1:6" ht="24" x14ac:dyDescent="0.2">
      <c r="A308" s="4" t="s">
        <v>657</v>
      </c>
      <c r="B308" s="3" t="s">
        <v>658</v>
      </c>
      <c r="C308" s="3"/>
      <c r="D308" s="60">
        <f>D309</f>
        <v>0</v>
      </c>
      <c r="E308" s="60">
        <f t="shared" ref="E308:F308" si="145">E309</f>
        <v>4833.52052</v>
      </c>
      <c r="F308" s="60">
        <f t="shared" si="145"/>
        <v>4833.52052</v>
      </c>
    </row>
    <row r="309" spans="1:6" ht="36" x14ac:dyDescent="0.2">
      <c r="A309" s="4" t="s">
        <v>376</v>
      </c>
      <c r="B309" s="3" t="s">
        <v>626</v>
      </c>
      <c r="C309" s="3"/>
      <c r="D309" s="60">
        <f t="shared" ref="D309:F309" si="146">D310</f>
        <v>0</v>
      </c>
      <c r="E309" s="60">
        <f t="shared" si="146"/>
        <v>4833.52052</v>
      </c>
      <c r="F309" s="60">
        <f t="shared" si="146"/>
        <v>4833.52052</v>
      </c>
    </row>
    <row r="310" spans="1:6" ht="24" x14ac:dyDescent="0.2">
      <c r="A310" s="4" t="s">
        <v>29</v>
      </c>
      <c r="B310" s="3" t="s">
        <v>626</v>
      </c>
      <c r="C310" s="3" t="s">
        <v>26</v>
      </c>
      <c r="D310" s="60"/>
      <c r="E310" s="60">
        <f>4833.52052</f>
        <v>4833.52052</v>
      </c>
      <c r="F310" s="60">
        <f>D310+E310</f>
        <v>4833.52052</v>
      </c>
    </row>
    <row r="311" spans="1:6" ht="36" x14ac:dyDescent="0.2">
      <c r="A311" s="4" t="s">
        <v>377</v>
      </c>
      <c r="B311" s="3" t="s">
        <v>448</v>
      </c>
      <c r="C311" s="3"/>
      <c r="D311" s="60">
        <f>D312+D321</f>
        <v>31849.209000000003</v>
      </c>
      <c r="E311" s="60">
        <f>E312+E321</f>
        <v>-100.00316000000007</v>
      </c>
      <c r="F311" s="60">
        <f t="shared" ref="F311" si="147">F312+F321</f>
        <v>31749.205840000002</v>
      </c>
    </row>
    <row r="312" spans="1:6" x14ac:dyDescent="0.2">
      <c r="A312" s="4" t="s">
        <v>85</v>
      </c>
      <c r="B312" s="3" t="s">
        <v>449</v>
      </c>
      <c r="C312" s="3"/>
      <c r="D312" s="60">
        <f>D313+D315+D317+D319</f>
        <v>30417.709000000003</v>
      </c>
      <c r="E312" s="60">
        <f>E313+E315+E317+E319</f>
        <v>-100.00316000000007</v>
      </c>
      <c r="F312" s="60">
        <f t="shared" ref="F312" si="148">F313+F315+F317+F319</f>
        <v>30317.705840000002</v>
      </c>
    </row>
    <row r="313" spans="1:6" ht="24" x14ac:dyDescent="0.2">
      <c r="A313" s="4" t="s">
        <v>378</v>
      </c>
      <c r="B313" s="3" t="s">
        <v>450</v>
      </c>
      <c r="C313" s="3"/>
      <c r="D313" s="60">
        <f>D314</f>
        <v>14726.199000000001</v>
      </c>
      <c r="E313" s="60">
        <f t="shared" ref="E313:F313" si="149">E314</f>
        <v>138.17341999999988</v>
      </c>
      <c r="F313" s="60">
        <f t="shared" si="149"/>
        <v>14864.37242</v>
      </c>
    </row>
    <row r="314" spans="1:6" ht="24" x14ac:dyDescent="0.2">
      <c r="A314" s="4" t="s">
        <v>29</v>
      </c>
      <c r="B314" s="3" t="s">
        <v>450</v>
      </c>
      <c r="C314" s="3" t="s">
        <v>26</v>
      </c>
      <c r="D314" s="60">
        <v>14726.199000000001</v>
      </c>
      <c r="E314" s="60">
        <f>-1357.98+1481.6+14.55342</f>
        <v>138.17341999999988</v>
      </c>
      <c r="F314" s="60">
        <f>D314+E314</f>
        <v>14864.37242</v>
      </c>
    </row>
    <row r="315" spans="1:6" ht="24" x14ac:dyDescent="0.2">
      <c r="A315" s="4" t="s">
        <v>379</v>
      </c>
      <c r="B315" s="3" t="s">
        <v>527</v>
      </c>
      <c r="C315" s="3"/>
      <c r="D315" s="60">
        <f>D316</f>
        <v>6278.3088500000003</v>
      </c>
      <c r="E315" s="60">
        <f t="shared" ref="E315" si="150">E316</f>
        <v>-230.67657999999994</v>
      </c>
      <c r="F315" s="60">
        <f>F316</f>
        <v>6047.6322700000001</v>
      </c>
    </row>
    <row r="316" spans="1:6" ht="24" x14ac:dyDescent="0.2">
      <c r="A316" s="4" t="s">
        <v>29</v>
      </c>
      <c r="B316" s="3" t="s">
        <v>527</v>
      </c>
      <c r="C316" s="3" t="s">
        <v>26</v>
      </c>
      <c r="D316" s="60">
        <v>6278.3088500000003</v>
      </c>
      <c r="E316" s="60">
        <f>-361.4+36.17+14.55342+80</f>
        <v>-230.67657999999994</v>
      </c>
      <c r="F316" s="60">
        <f>D316+E316</f>
        <v>6047.6322700000001</v>
      </c>
    </row>
    <row r="317" spans="1:6" x14ac:dyDescent="0.2">
      <c r="A317" s="4" t="s">
        <v>430</v>
      </c>
      <c r="B317" s="3" t="s">
        <v>466</v>
      </c>
      <c r="C317" s="3"/>
      <c r="D317" s="60">
        <f t="shared" ref="D317:F317" si="151">D318</f>
        <v>6370.4811499999996</v>
      </c>
      <c r="E317" s="60">
        <f t="shared" si="151"/>
        <v>-7.5</v>
      </c>
      <c r="F317" s="60">
        <f t="shared" si="151"/>
        <v>6362.9811499999996</v>
      </c>
    </row>
    <row r="318" spans="1:6" ht="24" x14ac:dyDescent="0.2">
      <c r="A318" s="4" t="s">
        <v>29</v>
      </c>
      <c r="B318" s="3" t="s">
        <v>466</v>
      </c>
      <c r="C318" s="3" t="s">
        <v>26</v>
      </c>
      <c r="D318" s="60">
        <v>6370.4811499999996</v>
      </c>
      <c r="E318" s="60">
        <f>-157.5+150</f>
        <v>-7.5</v>
      </c>
      <c r="F318" s="60">
        <f>D318+E318</f>
        <v>6362.9811499999996</v>
      </c>
    </row>
    <row r="319" spans="1:6" x14ac:dyDescent="0.2">
      <c r="A319" s="4" t="s">
        <v>545</v>
      </c>
      <c r="B319" s="3" t="s">
        <v>543</v>
      </c>
      <c r="C319" s="3"/>
      <c r="D319" s="60">
        <f t="shared" ref="D319:F319" si="152">D320</f>
        <v>3042.7200000000003</v>
      </c>
      <c r="E319" s="60">
        <f t="shared" si="152"/>
        <v>0</v>
      </c>
      <c r="F319" s="60">
        <f t="shared" si="152"/>
        <v>3042.7200000000003</v>
      </c>
    </row>
    <row r="320" spans="1:6" ht="24" x14ac:dyDescent="0.2">
      <c r="A320" s="4" t="s">
        <v>29</v>
      </c>
      <c r="B320" s="3" t="s">
        <v>543</v>
      </c>
      <c r="C320" s="3" t="s">
        <v>26</v>
      </c>
      <c r="D320" s="60">
        <f>156.86+2885.86</f>
        <v>3042.7200000000003</v>
      </c>
      <c r="E320" s="60">
        <f>653.06852-653.06852</f>
        <v>0</v>
      </c>
      <c r="F320" s="60">
        <f>D320+E320</f>
        <v>3042.7200000000003</v>
      </c>
    </row>
    <row r="321" spans="1:6" ht="24" x14ac:dyDescent="0.2">
      <c r="A321" s="4" t="s">
        <v>380</v>
      </c>
      <c r="B321" s="3" t="s">
        <v>451</v>
      </c>
      <c r="C321" s="3"/>
      <c r="D321" s="240">
        <f>D322</f>
        <v>1431.5</v>
      </c>
      <c r="E321" s="240">
        <f>E322</f>
        <v>0</v>
      </c>
      <c r="F321" s="240">
        <f>F322</f>
        <v>1431.5</v>
      </c>
    </row>
    <row r="322" spans="1:6" ht="36" x14ac:dyDescent="0.2">
      <c r="A322" s="4" t="s">
        <v>335</v>
      </c>
      <c r="B322" s="3" t="s">
        <v>452</v>
      </c>
      <c r="C322" s="3"/>
      <c r="D322" s="240">
        <f>SUM(D323:D324)</f>
        <v>1431.5</v>
      </c>
      <c r="E322" s="240">
        <f t="shared" ref="E322:F322" si="153">SUM(E323:E324)</f>
        <v>0</v>
      </c>
      <c r="F322" s="240">
        <f t="shared" si="153"/>
        <v>1431.5</v>
      </c>
    </row>
    <row r="323" spans="1:6" x14ac:dyDescent="0.2">
      <c r="A323" s="4" t="s">
        <v>45</v>
      </c>
      <c r="B323" s="3" t="s">
        <v>452</v>
      </c>
      <c r="C323" s="3" t="s">
        <v>43</v>
      </c>
      <c r="D323" s="60">
        <v>278</v>
      </c>
      <c r="E323" s="240"/>
      <c r="F323" s="60">
        <f>D323+E323</f>
        <v>278</v>
      </c>
    </row>
    <row r="324" spans="1:6" ht="24" x14ac:dyDescent="0.2">
      <c r="A324" s="4" t="s">
        <v>29</v>
      </c>
      <c r="B324" s="3" t="s">
        <v>452</v>
      </c>
      <c r="C324" s="3" t="s">
        <v>26</v>
      </c>
      <c r="D324" s="60">
        <v>1153.5</v>
      </c>
      <c r="E324" s="240"/>
      <c r="F324" s="60">
        <f>D324+E324</f>
        <v>1153.5</v>
      </c>
    </row>
    <row r="325" spans="1:6" x14ac:dyDescent="0.2">
      <c r="A325" s="4" t="s">
        <v>129</v>
      </c>
      <c r="B325" s="3" t="s">
        <v>258</v>
      </c>
      <c r="C325" s="3"/>
      <c r="D325" s="263">
        <f t="shared" ref="D325:F332" si="154">D326</f>
        <v>2500</v>
      </c>
      <c r="E325" s="263">
        <f t="shared" si="154"/>
        <v>0</v>
      </c>
      <c r="F325" s="263">
        <f t="shared" si="154"/>
        <v>2500</v>
      </c>
    </row>
    <row r="326" spans="1:6" x14ac:dyDescent="0.2">
      <c r="A326" s="4" t="s">
        <v>46</v>
      </c>
      <c r="B326" s="3" t="s">
        <v>44</v>
      </c>
      <c r="C326" s="3"/>
      <c r="D326" s="263">
        <f>D331+D328+D327+D330+D329</f>
        <v>2500</v>
      </c>
      <c r="E326" s="263">
        <f t="shared" ref="E326:F326" si="155">E331+E328+E327+E330+E329</f>
        <v>0</v>
      </c>
      <c r="F326" s="263">
        <f t="shared" si="155"/>
        <v>2500</v>
      </c>
    </row>
    <row r="327" spans="1:6" ht="24" x14ac:dyDescent="0.2">
      <c r="A327" s="4" t="s">
        <v>47</v>
      </c>
      <c r="B327" s="3" t="s">
        <v>44</v>
      </c>
      <c r="C327" s="3" t="s">
        <v>51</v>
      </c>
      <c r="D327" s="60"/>
      <c r="E327" s="60">
        <v>532.23</v>
      </c>
      <c r="F327" s="60">
        <f>E327+D327</f>
        <v>532.23</v>
      </c>
    </row>
    <row r="328" spans="1:6" x14ac:dyDescent="0.2">
      <c r="A328" s="4" t="s">
        <v>45</v>
      </c>
      <c r="B328" s="3" t="s">
        <v>44</v>
      </c>
      <c r="C328" s="3" t="s">
        <v>43</v>
      </c>
      <c r="D328" s="263">
        <v>45</v>
      </c>
      <c r="E328" s="263"/>
      <c r="F328" s="263">
        <f>D328+E328</f>
        <v>45</v>
      </c>
    </row>
    <row r="329" spans="1:6" x14ac:dyDescent="0.2">
      <c r="A329" s="7" t="s">
        <v>8</v>
      </c>
      <c r="B329" s="3" t="s">
        <v>44</v>
      </c>
      <c r="C329" s="3" t="s">
        <v>5</v>
      </c>
      <c r="D329" s="263"/>
      <c r="E329" s="263">
        <v>569.18799999999999</v>
      </c>
      <c r="F329" s="263">
        <f>D329+E329</f>
        <v>569.18799999999999</v>
      </c>
    </row>
    <row r="330" spans="1:6" ht="24" x14ac:dyDescent="0.2">
      <c r="A330" s="4" t="s">
        <v>29</v>
      </c>
      <c r="B330" s="3" t="s">
        <v>44</v>
      </c>
      <c r="C330" s="3" t="s">
        <v>26</v>
      </c>
      <c r="D330" s="263"/>
      <c r="E330" s="263">
        <v>12.5</v>
      </c>
      <c r="F330" s="263">
        <f>D330+E330</f>
        <v>12.5</v>
      </c>
    </row>
    <row r="331" spans="1:6" ht="24" x14ac:dyDescent="0.2">
      <c r="A331" s="4" t="s">
        <v>73</v>
      </c>
      <c r="B331" s="3" t="s">
        <v>44</v>
      </c>
      <c r="C331" s="3" t="s">
        <v>80</v>
      </c>
      <c r="D331" s="60">
        <v>2455</v>
      </c>
      <c r="E331" s="263">
        <f>-12.5-50-519.188-532.23</f>
        <v>-1113.9180000000001</v>
      </c>
      <c r="F331" s="60">
        <f>D331+E331</f>
        <v>1341.0819999999999</v>
      </c>
    </row>
    <row r="332" spans="1:6" ht="36" x14ac:dyDescent="0.2">
      <c r="A332" s="4" t="s">
        <v>347</v>
      </c>
      <c r="B332" s="3" t="s">
        <v>346</v>
      </c>
      <c r="C332" s="3"/>
      <c r="D332" s="263">
        <f t="shared" si="154"/>
        <v>6142</v>
      </c>
      <c r="E332" s="263">
        <f t="shared" si="154"/>
        <v>-6142</v>
      </c>
      <c r="F332" s="263">
        <f t="shared" si="154"/>
        <v>0</v>
      </c>
    </row>
    <row r="333" spans="1:6" ht="48" x14ac:dyDescent="0.2">
      <c r="A333" s="4" t="s">
        <v>38</v>
      </c>
      <c r="B333" s="3" t="s">
        <v>346</v>
      </c>
      <c r="C333" s="3" t="s">
        <v>34</v>
      </c>
      <c r="D333" s="60">
        <v>6142</v>
      </c>
      <c r="E333" s="263">
        <f>-177.103-5964.897</f>
        <v>-6142</v>
      </c>
      <c r="F333" s="60">
        <f>D333+E333</f>
        <v>0</v>
      </c>
    </row>
    <row r="334" spans="1:6" x14ac:dyDescent="0.2">
      <c r="A334" s="4" t="s">
        <v>155</v>
      </c>
      <c r="B334" s="3" t="s">
        <v>154</v>
      </c>
      <c r="C334" s="3"/>
      <c r="D334" s="264">
        <f>D335</f>
        <v>1457.55</v>
      </c>
      <c r="E334" s="264">
        <f t="shared" ref="E334:F334" si="156">E335</f>
        <v>522.52350999999999</v>
      </c>
      <c r="F334" s="264">
        <f t="shared" si="156"/>
        <v>1980.0735099999999</v>
      </c>
    </row>
    <row r="335" spans="1:6" ht="48" x14ac:dyDescent="0.2">
      <c r="A335" s="4" t="s">
        <v>38</v>
      </c>
      <c r="B335" s="3" t="s">
        <v>154</v>
      </c>
      <c r="C335" s="3" t="s">
        <v>34</v>
      </c>
      <c r="D335" s="60">
        <f>1119.47005+338.07995</f>
        <v>1457.55</v>
      </c>
      <c r="E335" s="264">
        <f>401.32374+121.19977</f>
        <v>522.52350999999999</v>
      </c>
      <c r="F335" s="60">
        <f>D335+E335</f>
        <v>1980.0735099999999</v>
      </c>
    </row>
    <row r="336" spans="1:6" x14ac:dyDescent="0.2">
      <c r="A336" s="4" t="s">
        <v>152</v>
      </c>
      <c r="B336" s="3" t="s">
        <v>151</v>
      </c>
      <c r="C336" s="3"/>
      <c r="D336" s="264">
        <f>D337</f>
        <v>1150.69</v>
      </c>
      <c r="E336" s="264">
        <f t="shared" ref="E336:F336" si="157">E337</f>
        <v>34.458390000000001</v>
      </c>
      <c r="F336" s="264">
        <f t="shared" si="157"/>
        <v>1185.1483900000001</v>
      </c>
    </row>
    <row r="337" spans="1:7" ht="48" x14ac:dyDescent="0.2">
      <c r="A337" s="4" t="s">
        <v>38</v>
      </c>
      <c r="B337" s="3" t="s">
        <v>151</v>
      </c>
      <c r="C337" s="3" t="s">
        <v>34</v>
      </c>
      <c r="D337" s="60">
        <f>883.78648+266.90352</f>
        <v>1150.69</v>
      </c>
      <c r="E337" s="264">
        <f>26.46574+7.99265</f>
        <v>34.458390000000001</v>
      </c>
      <c r="F337" s="60">
        <f>D337+E337</f>
        <v>1185.1483900000001</v>
      </c>
    </row>
    <row r="338" spans="1:7" ht="24" x14ac:dyDescent="0.2">
      <c r="A338" s="4" t="s">
        <v>150</v>
      </c>
      <c r="B338" s="3" t="s">
        <v>149</v>
      </c>
      <c r="C338" s="3"/>
      <c r="D338" s="264">
        <f>D339</f>
        <v>753.15</v>
      </c>
      <c r="E338" s="264">
        <f t="shared" ref="E338:F339" si="158">E339</f>
        <v>72.168120000000002</v>
      </c>
      <c r="F338" s="264">
        <f t="shared" si="158"/>
        <v>825.31812000000002</v>
      </c>
    </row>
    <row r="339" spans="1:7" ht="24" x14ac:dyDescent="0.2">
      <c r="A339" s="4" t="s">
        <v>148</v>
      </c>
      <c r="B339" s="3" t="s">
        <v>147</v>
      </c>
      <c r="C339" s="3"/>
      <c r="D339" s="264">
        <f>D340</f>
        <v>753.15</v>
      </c>
      <c r="E339" s="264">
        <f t="shared" si="158"/>
        <v>72.168120000000002</v>
      </c>
      <c r="F339" s="264">
        <f t="shared" si="158"/>
        <v>825.31812000000002</v>
      </c>
    </row>
    <row r="340" spans="1:7" ht="48.75" x14ac:dyDescent="0.25">
      <c r="A340" s="4" t="s">
        <v>38</v>
      </c>
      <c r="B340" s="3" t="s">
        <v>147</v>
      </c>
      <c r="C340" s="3" t="s">
        <v>34</v>
      </c>
      <c r="D340" s="271">
        <f>329.60829+324+99.54171</f>
        <v>753.15</v>
      </c>
      <c r="E340" s="295">
        <f>55.42867+16.73945</f>
        <v>72.168120000000002</v>
      </c>
      <c r="F340" s="271">
        <f>D340+E340</f>
        <v>825.31812000000002</v>
      </c>
    </row>
    <row r="341" spans="1:7" ht="24" x14ac:dyDescent="0.2">
      <c r="A341" s="4" t="s">
        <v>134</v>
      </c>
      <c r="B341" s="3" t="s">
        <v>133</v>
      </c>
      <c r="C341" s="3"/>
      <c r="D341" s="265">
        <f>D342</f>
        <v>959.16000000000008</v>
      </c>
      <c r="E341" s="265">
        <f t="shared" ref="E341:F342" si="159">E342</f>
        <v>52.50806</v>
      </c>
      <c r="F341" s="265">
        <f t="shared" si="159"/>
        <v>1011.6680600000001</v>
      </c>
    </row>
    <row r="342" spans="1:7" ht="24" x14ac:dyDescent="0.2">
      <c r="A342" s="4" t="s">
        <v>132</v>
      </c>
      <c r="B342" s="3" t="s">
        <v>131</v>
      </c>
      <c r="C342" s="3"/>
      <c r="D342" s="265">
        <f>D343</f>
        <v>959.16000000000008</v>
      </c>
      <c r="E342" s="265">
        <f t="shared" si="159"/>
        <v>52.50806</v>
      </c>
      <c r="F342" s="265">
        <f t="shared" si="159"/>
        <v>1011.6680600000001</v>
      </c>
    </row>
    <row r="343" spans="1:7" ht="48" x14ac:dyDescent="0.2">
      <c r="A343" s="4" t="s">
        <v>38</v>
      </c>
      <c r="B343" s="3" t="s">
        <v>131</v>
      </c>
      <c r="C343" s="3" t="s">
        <v>34</v>
      </c>
      <c r="D343" s="60">
        <f>736.68203+222.47797</f>
        <v>959.16000000000008</v>
      </c>
      <c r="E343" s="265">
        <f>40.32877+12.17929</f>
        <v>52.50806</v>
      </c>
      <c r="F343" s="60">
        <f>D343+E343</f>
        <v>1011.6680600000001</v>
      </c>
    </row>
    <row r="344" spans="1:7" s="31" customFormat="1" x14ac:dyDescent="0.2">
      <c r="A344" s="35" t="s">
        <v>210</v>
      </c>
      <c r="B344" s="5"/>
      <c r="C344" s="5"/>
      <c r="D344" s="59">
        <f>D9+D18+D32+D39+D46+D98+D124+D154+D163+D184+D325+D332+D334+D336+D338+D341+D113+D213+D220+D233+D272+D311+D247+D253+D262+D133+D61+D242+D224+D52</f>
        <v>667958.89795000013</v>
      </c>
      <c r="E344" s="59">
        <f>E9+E18+E32+E39+E46+E98+E124+E154+E163+E184+E325+E332+E334+E336+E338+E341+E113+E213+E220+E233+E272+E311+E247+E253+E262+E133+E61+E242+E224+E52</f>
        <v>32547.128330000018</v>
      </c>
      <c r="F344" s="59">
        <f>F9+F18+F32+F39+F46+F98+F124+F154+F163+F184+F325+F332+F334+F336+F338+F341+F113+F213+F220+F233+F272+F311+F247+F253+F262+F133+F61+F242+F224+F52</f>
        <v>700506.02627999999</v>
      </c>
      <c r="G344" s="31">
        <v>667958.89795000001</v>
      </c>
    </row>
    <row r="345" spans="1:7" s="31" customFormat="1" x14ac:dyDescent="0.2">
      <c r="A345" s="29"/>
      <c r="B345" s="28"/>
      <c r="C345" s="28"/>
      <c r="D345" s="31">
        <v>667958.89795000001</v>
      </c>
      <c r="E345" s="61">
        <v>32547.12833</v>
      </c>
      <c r="F345" s="61">
        <f>D345+E345</f>
        <v>700506.02627999999</v>
      </c>
    </row>
    <row r="346" spans="1:7" s="31" customFormat="1" x14ac:dyDescent="0.2">
      <c r="A346" s="29"/>
      <c r="B346" s="34"/>
      <c r="C346" s="34"/>
      <c r="D346" s="61">
        <f t="shared" ref="D346" si="160">D344-D345</f>
        <v>0</v>
      </c>
      <c r="E346" s="61">
        <f>E344-E345</f>
        <v>0</v>
      </c>
      <c r="F346" s="61">
        <f>F344-F345</f>
        <v>0</v>
      </c>
    </row>
    <row r="348" spans="1:7" x14ac:dyDescent="0.2">
      <c r="B348" s="67" t="s">
        <v>324</v>
      </c>
      <c r="C348" s="68"/>
      <c r="D348" s="60">
        <f>D9</f>
        <v>11651.85787</v>
      </c>
      <c r="E348" s="60">
        <f>E9</f>
        <v>2490.2507900000001</v>
      </c>
      <c r="F348" s="60">
        <f>F9</f>
        <v>14142.10866</v>
      </c>
    </row>
    <row r="349" spans="1:7" x14ac:dyDescent="0.2">
      <c r="B349" s="67" t="s">
        <v>63</v>
      </c>
      <c r="C349" s="68"/>
      <c r="D349" s="60">
        <f>D18</f>
        <v>12487.644209999999</v>
      </c>
      <c r="E349" s="60">
        <f>E18</f>
        <v>0</v>
      </c>
      <c r="F349" s="60">
        <f>F18</f>
        <v>12487.644209999999</v>
      </c>
    </row>
    <row r="350" spans="1:7" x14ac:dyDescent="0.2">
      <c r="B350" s="67" t="s">
        <v>31</v>
      </c>
      <c r="C350" s="68"/>
      <c r="D350" s="60">
        <f>D32</f>
        <v>1356.106</v>
      </c>
      <c r="E350" s="60">
        <f>E32</f>
        <v>0</v>
      </c>
      <c r="F350" s="60">
        <f>F32</f>
        <v>1356.106</v>
      </c>
    </row>
    <row r="351" spans="1:7" x14ac:dyDescent="0.2">
      <c r="B351" s="67" t="s">
        <v>103</v>
      </c>
      <c r="C351" s="68"/>
      <c r="D351" s="60">
        <f>D39</f>
        <v>780</v>
      </c>
      <c r="E351" s="60">
        <f>E39</f>
        <v>-300</v>
      </c>
      <c r="F351" s="60">
        <f>F39</f>
        <v>480</v>
      </c>
    </row>
    <row r="352" spans="1:7" s="36" customFormat="1" x14ac:dyDescent="0.2">
      <c r="A352" s="66"/>
      <c r="B352" s="69" t="s">
        <v>4</v>
      </c>
      <c r="C352" s="70"/>
      <c r="D352" s="59">
        <f t="shared" ref="D352" si="161">SUM(D348:D351)</f>
        <v>26275.608079999998</v>
      </c>
      <c r="E352" s="59">
        <f>SUM(E348:E351)</f>
        <v>2190.2507900000001</v>
      </c>
      <c r="F352" s="59">
        <f>SUM(F348:F351)</f>
        <v>28465.858869999996</v>
      </c>
    </row>
    <row r="353" spans="1:6" x14ac:dyDescent="0.2">
      <c r="B353" s="67" t="s">
        <v>75</v>
      </c>
      <c r="C353" s="68"/>
      <c r="D353" s="60">
        <f>D46</f>
        <v>1107.8399999999999</v>
      </c>
      <c r="E353" s="60">
        <f>E46</f>
        <v>520.21100000000001</v>
      </c>
      <c r="F353" s="60">
        <f>F46</f>
        <v>1628.0509999999999</v>
      </c>
    </row>
    <row r="354" spans="1:6" x14ac:dyDescent="0.2">
      <c r="B354" s="67" t="s">
        <v>659</v>
      </c>
      <c r="C354" s="68"/>
      <c r="D354" s="60">
        <f>D52</f>
        <v>0</v>
      </c>
      <c r="E354" s="60">
        <f>E52</f>
        <v>6898.3645900000001</v>
      </c>
      <c r="F354" s="60">
        <f>F52</f>
        <v>6898.3645900000001</v>
      </c>
    </row>
    <row r="355" spans="1:6" x14ac:dyDescent="0.2">
      <c r="B355" s="69" t="s">
        <v>580</v>
      </c>
      <c r="C355" s="68"/>
      <c r="D355" s="60"/>
      <c r="E355" s="60"/>
      <c r="F355" s="60"/>
    </row>
    <row r="356" spans="1:6" x14ac:dyDescent="0.2">
      <c r="B356" s="69" t="s">
        <v>581</v>
      </c>
      <c r="C356" s="68"/>
      <c r="D356" s="60">
        <f>D61</f>
        <v>52783.647940000003</v>
      </c>
      <c r="E356" s="60">
        <f>E61</f>
        <v>-6524.266889999999</v>
      </c>
      <c r="F356" s="60">
        <f>F61</f>
        <v>46259.381050000004</v>
      </c>
    </row>
    <row r="357" spans="1:6" x14ac:dyDescent="0.2">
      <c r="B357" s="69" t="s">
        <v>582</v>
      </c>
      <c r="C357" s="68"/>
      <c r="D357" s="60">
        <f>D98</f>
        <v>1218.73</v>
      </c>
      <c r="E357" s="60">
        <f>E98</f>
        <v>119.8</v>
      </c>
      <c r="F357" s="60">
        <f>F98</f>
        <v>1338.53</v>
      </c>
    </row>
    <row r="358" spans="1:6" x14ac:dyDescent="0.2">
      <c r="B358" s="67" t="s">
        <v>60</v>
      </c>
      <c r="C358" s="68"/>
      <c r="D358" s="60"/>
      <c r="E358" s="60"/>
      <c r="F358" s="60"/>
    </row>
    <row r="359" spans="1:6" x14ac:dyDescent="0.2">
      <c r="B359" s="67" t="s">
        <v>471</v>
      </c>
      <c r="C359" s="68"/>
      <c r="D359" s="60">
        <f>D113</f>
        <v>760.26083999999992</v>
      </c>
      <c r="E359" s="60">
        <f>E113</f>
        <v>554.66031999999996</v>
      </c>
      <c r="F359" s="60">
        <f>F113</f>
        <v>1314.9211599999999</v>
      </c>
    </row>
    <row r="360" spans="1:6" s="36" customFormat="1" x14ac:dyDescent="0.2">
      <c r="A360" s="66"/>
      <c r="B360" s="69" t="s">
        <v>3</v>
      </c>
      <c r="C360" s="70"/>
      <c r="D360" s="59">
        <f>SUM(D353:D359)</f>
        <v>55870.478780000005</v>
      </c>
      <c r="E360" s="59">
        <f>SUM(E353:E359)</f>
        <v>1568.7690200000013</v>
      </c>
      <c r="F360" s="59">
        <f>SUM(F353:F359)</f>
        <v>57439.247799999997</v>
      </c>
    </row>
    <row r="361" spans="1:6" x14ac:dyDescent="0.2">
      <c r="B361" s="67" t="s">
        <v>139</v>
      </c>
      <c r="C361" s="68"/>
      <c r="D361" s="60"/>
      <c r="E361" s="60"/>
      <c r="F361" s="60"/>
    </row>
    <row r="362" spans="1:6" x14ac:dyDescent="0.2">
      <c r="B362" s="67" t="s">
        <v>12</v>
      </c>
      <c r="C362" s="68"/>
      <c r="D362" s="60"/>
      <c r="E362" s="60"/>
      <c r="F362" s="60"/>
    </row>
    <row r="363" spans="1:6" x14ac:dyDescent="0.2">
      <c r="B363" s="67" t="s">
        <v>97</v>
      </c>
      <c r="C363" s="68"/>
      <c r="D363" s="60"/>
      <c r="E363" s="60"/>
      <c r="F363" s="60"/>
    </row>
    <row r="364" spans="1:6" s="36" customFormat="1" x14ac:dyDescent="0.2">
      <c r="A364" s="66"/>
      <c r="B364" s="69" t="s">
        <v>540</v>
      </c>
      <c r="C364" s="70"/>
      <c r="D364" s="59">
        <f>SUM(D361:D363)</f>
        <v>0</v>
      </c>
      <c r="E364" s="59">
        <f t="shared" ref="E364:F364" si="162">SUM(E361:E363)</f>
        <v>0</v>
      </c>
      <c r="F364" s="59">
        <f t="shared" si="162"/>
        <v>0</v>
      </c>
    </row>
    <row r="365" spans="1:6" x14ac:dyDescent="0.2">
      <c r="B365" s="67" t="s">
        <v>139</v>
      </c>
      <c r="C365" s="68"/>
      <c r="D365" s="60">
        <f>D124</f>
        <v>3394.3330000000001</v>
      </c>
      <c r="E365" s="60">
        <f>E124</f>
        <v>1375.6028799999999</v>
      </c>
      <c r="F365" s="60">
        <f>F124</f>
        <v>4769.93588</v>
      </c>
    </row>
    <row r="366" spans="1:6" x14ac:dyDescent="0.2">
      <c r="B366" s="67" t="s">
        <v>12</v>
      </c>
      <c r="C366" s="68"/>
      <c r="D366" s="60">
        <f>D133</f>
        <v>39735.499999999993</v>
      </c>
      <c r="E366" s="60">
        <f>E133</f>
        <v>-397.99700000000001</v>
      </c>
      <c r="F366" s="60">
        <f>F133</f>
        <v>39337.502999999997</v>
      </c>
    </row>
    <row r="367" spans="1:6" s="36" customFormat="1" x14ac:dyDescent="0.2">
      <c r="A367" s="66"/>
      <c r="B367" s="69" t="s">
        <v>541</v>
      </c>
      <c r="C367" s="70"/>
      <c r="D367" s="59">
        <f t="shared" ref="D367:E367" si="163">SUM(D365:D366)</f>
        <v>43129.832999999991</v>
      </c>
      <c r="E367" s="59">
        <f t="shared" si="163"/>
        <v>977.60587999999984</v>
      </c>
      <c r="F367" s="59">
        <f>SUM(F365:F366)</f>
        <v>44107.438879999994</v>
      </c>
    </row>
    <row r="368" spans="1:6" x14ac:dyDescent="0.2">
      <c r="B368" s="67" t="s">
        <v>437</v>
      </c>
      <c r="C368" s="68"/>
      <c r="D368" s="60">
        <f>D154</f>
        <v>3261.7400000000002</v>
      </c>
      <c r="E368" s="60">
        <f>E154</f>
        <v>146.07</v>
      </c>
      <c r="F368" s="60">
        <f>F154</f>
        <v>3407.81</v>
      </c>
    </row>
    <row r="369" spans="1:6" x14ac:dyDescent="0.2">
      <c r="B369" s="67" t="s">
        <v>436</v>
      </c>
      <c r="C369" s="68"/>
      <c r="D369" s="60"/>
      <c r="E369" s="60"/>
      <c r="F369" s="60"/>
    </row>
    <row r="370" spans="1:6" x14ac:dyDescent="0.2">
      <c r="B370" s="67" t="s">
        <v>95</v>
      </c>
      <c r="C370" s="68"/>
      <c r="D370" s="60">
        <f>D163</f>
        <v>3914.9513399999996</v>
      </c>
      <c r="E370" s="60">
        <f>E163</f>
        <v>-15.4</v>
      </c>
      <c r="F370" s="60">
        <f>F163</f>
        <v>3899.55134</v>
      </c>
    </row>
    <row r="371" spans="1:6" x14ac:dyDescent="0.2">
      <c r="B371" s="69" t="s">
        <v>578</v>
      </c>
      <c r="C371" s="68"/>
      <c r="D371" s="60"/>
      <c r="E371" s="60"/>
      <c r="F371" s="60"/>
    </row>
    <row r="372" spans="1:6" s="36" customFormat="1" x14ac:dyDescent="0.2">
      <c r="A372" s="66"/>
      <c r="B372" s="69" t="s">
        <v>579</v>
      </c>
      <c r="C372" s="70"/>
      <c r="D372" s="60">
        <f>D184</f>
        <v>7140.4398000000001</v>
      </c>
      <c r="E372" s="60">
        <f>E184</f>
        <v>1284.5999999999999</v>
      </c>
      <c r="F372" s="60">
        <f>F184</f>
        <v>8425.0397999999986</v>
      </c>
    </row>
    <row r="373" spans="1:6" x14ac:dyDescent="0.2">
      <c r="B373" s="67" t="s">
        <v>404</v>
      </c>
      <c r="C373" s="68"/>
      <c r="D373" s="60">
        <f>D213</f>
        <v>5551.8</v>
      </c>
      <c r="E373" s="60">
        <f>E213</f>
        <v>0</v>
      </c>
      <c r="F373" s="60">
        <f>F213</f>
        <v>5551.8</v>
      </c>
    </row>
    <row r="374" spans="1:6" s="36" customFormat="1" x14ac:dyDescent="0.2">
      <c r="A374" s="66"/>
      <c r="B374" s="67" t="s">
        <v>433</v>
      </c>
      <c r="C374" s="70"/>
      <c r="D374" s="60">
        <f>D220</f>
        <v>15</v>
      </c>
      <c r="E374" s="60">
        <f>E220</f>
        <v>0</v>
      </c>
      <c r="F374" s="60">
        <f>F220</f>
        <v>15</v>
      </c>
    </row>
    <row r="375" spans="1:6" x14ac:dyDescent="0.2">
      <c r="B375" s="69" t="s">
        <v>1</v>
      </c>
      <c r="C375" s="68"/>
      <c r="D375" s="59">
        <f t="shared" ref="D375:E375" si="164">SUM(D368:D374)</f>
        <v>19883.931140000001</v>
      </c>
      <c r="E375" s="59">
        <f t="shared" si="164"/>
        <v>1415.27</v>
      </c>
      <c r="F375" s="59">
        <f>SUM(F368:F374)</f>
        <v>21299.201139999997</v>
      </c>
    </row>
    <row r="376" spans="1:6" s="36" customFormat="1" x14ac:dyDescent="0.2">
      <c r="A376" s="66"/>
      <c r="B376" s="67" t="s">
        <v>325</v>
      </c>
      <c r="C376" s="70"/>
      <c r="D376" s="60"/>
      <c r="E376" s="60"/>
      <c r="F376" s="60"/>
    </row>
    <row r="377" spans="1:6" x14ac:dyDescent="0.2">
      <c r="B377" s="69" t="s">
        <v>243</v>
      </c>
      <c r="C377" s="68"/>
      <c r="D377" s="59">
        <f>D376</f>
        <v>0</v>
      </c>
      <c r="E377" s="59">
        <f t="shared" ref="E377:F377" si="165">E376</f>
        <v>0</v>
      </c>
      <c r="F377" s="59">
        <f t="shared" si="165"/>
        <v>0</v>
      </c>
    </row>
    <row r="378" spans="1:6" x14ac:dyDescent="0.2">
      <c r="B378" s="67" t="s">
        <v>467</v>
      </c>
      <c r="C378" s="68"/>
      <c r="D378" s="60">
        <f>D247</f>
        <v>1142.2</v>
      </c>
      <c r="E378" s="60">
        <f>E247</f>
        <v>313.74801000000002</v>
      </c>
      <c r="F378" s="60">
        <f>F247</f>
        <v>1455.9480100000001</v>
      </c>
    </row>
    <row r="379" spans="1:6" x14ac:dyDescent="0.2">
      <c r="B379" s="67" t="s">
        <v>468</v>
      </c>
      <c r="C379" s="68"/>
      <c r="D379" s="60">
        <f>D253</f>
        <v>4160.3410000000003</v>
      </c>
      <c r="E379" s="60">
        <f>E253</f>
        <v>78.907809999999998</v>
      </c>
      <c r="F379" s="60">
        <f>F253</f>
        <v>4239.24881</v>
      </c>
    </row>
    <row r="380" spans="1:6" x14ac:dyDescent="0.2">
      <c r="B380" s="67" t="s">
        <v>469</v>
      </c>
      <c r="C380" s="68"/>
      <c r="D380" s="60">
        <f>D262</f>
        <v>10401.219000000001</v>
      </c>
      <c r="E380" s="60">
        <f>E262</f>
        <v>14.055709999999999</v>
      </c>
      <c r="F380" s="60">
        <f>F262</f>
        <v>10415.27471</v>
      </c>
    </row>
    <row r="381" spans="1:6" x14ac:dyDescent="0.2">
      <c r="B381" s="67" t="s">
        <v>439</v>
      </c>
      <c r="C381" s="68"/>
      <c r="D381" s="60">
        <f>D272</f>
        <v>439164.21044000005</v>
      </c>
      <c r="E381" s="60">
        <f>E272</f>
        <v>27490.686100000014</v>
      </c>
      <c r="F381" s="60">
        <f>F272</f>
        <v>466654.89653999999</v>
      </c>
    </row>
    <row r="382" spans="1:6" x14ac:dyDescent="0.2">
      <c r="B382" s="67" t="s">
        <v>448</v>
      </c>
      <c r="C382" s="68"/>
      <c r="D382" s="60">
        <f>D311</f>
        <v>31849.209000000003</v>
      </c>
      <c r="E382" s="60">
        <f>E311</f>
        <v>-100.00316000000007</v>
      </c>
      <c r="F382" s="60">
        <f>F311</f>
        <v>31749.205840000002</v>
      </c>
    </row>
    <row r="383" spans="1:6" x14ac:dyDescent="0.2">
      <c r="B383" s="69" t="s">
        <v>470</v>
      </c>
      <c r="C383" s="68"/>
      <c r="D383" s="59">
        <f t="shared" ref="D383" si="166">SUM(D378:D382)</f>
        <v>486717.17944000009</v>
      </c>
      <c r="E383" s="59">
        <f t="shared" ref="E383" si="167">SUM(E378:E382)</f>
        <v>27797.394470000014</v>
      </c>
      <c r="F383" s="59">
        <f t="shared" ref="F383" si="168">SUM(F378:F382)</f>
        <v>514514.57390999998</v>
      </c>
    </row>
    <row r="384" spans="1:6" x14ac:dyDescent="0.2">
      <c r="B384" s="67" t="s">
        <v>615</v>
      </c>
      <c r="C384" s="68"/>
      <c r="D384" s="60">
        <f>D224</f>
        <v>8064.7295100000001</v>
      </c>
      <c r="E384" s="60">
        <f>E224</f>
        <v>1469.8599900000002</v>
      </c>
      <c r="F384" s="60">
        <f>F224</f>
        <v>9534.5894999999982</v>
      </c>
    </row>
    <row r="385" spans="2:6" x14ac:dyDescent="0.2">
      <c r="B385" s="67" t="s">
        <v>416</v>
      </c>
      <c r="C385" s="68"/>
      <c r="D385" s="60">
        <f>D233</f>
        <v>13520.498</v>
      </c>
      <c r="E385" s="60">
        <f>E233</f>
        <v>2579.3200999999999</v>
      </c>
      <c r="F385" s="60">
        <f>F233</f>
        <v>16099.8181</v>
      </c>
    </row>
    <row r="386" spans="2:6" x14ac:dyDescent="0.2">
      <c r="B386" s="67" t="s">
        <v>412</v>
      </c>
      <c r="C386" s="68"/>
      <c r="D386" s="60">
        <f>D242</f>
        <v>1534.09</v>
      </c>
      <c r="E386" s="60">
        <f>E242</f>
        <v>9</v>
      </c>
      <c r="F386" s="60">
        <f>F242</f>
        <v>1543.09</v>
      </c>
    </row>
    <row r="387" spans="2:6" x14ac:dyDescent="0.2">
      <c r="B387" s="69" t="s">
        <v>417</v>
      </c>
      <c r="C387" s="68"/>
      <c r="D387" s="59">
        <f>SUM(D384:D386)</f>
        <v>23119.317510000001</v>
      </c>
      <c r="E387" s="59">
        <f t="shared" ref="E387:F387" si="169">SUM(E384:E386)</f>
        <v>4058.1800899999998</v>
      </c>
      <c r="F387" s="59">
        <f t="shared" si="169"/>
        <v>27177.497599999999</v>
      </c>
    </row>
    <row r="388" spans="2:6" x14ac:dyDescent="0.2">
      <c r="B388" s="67"/>
      <c r="C388" s="68"/>
      <c r="D388" s="60"/>
      <c r="E388" s="60"/>
      <c r="F388" s="60"/>
    </row>
    <row r="389" spans="2:6" x14ac:dyDescent="0.2">
      <c r="B389" s="67"/>
      <c r="C389" s="68"/>
      <c r="D389" s="60"/>
      <c r="E389" s="60"/>
      <c r="F389" s="60"/>
    </row>
    <row r="390" spans="2:6" x14ac:dyDescent="0.2">
      <c r="B390" s="69" t="s">
        <v>0</v>
      </c>
      <c r="C390" s="68"/>
      <c r="D390" s="59">
        <f>D326+D334+D336+D338+D341+D332</f>
        <v>12962.55</v>
      </c>
      <c r="E390" s="59">
        <f>E326+E334+E336+E338+E341+E332</f>
        <v>-5460.3419199999998</v>
      </c>
      <c r="F390" s="59">
        <f>F326+F334+F336+F338+F341+F332</f>
        <v>7502.2080800000003</v>
      </c>
    </row>
    <row r="391" spans="2:6" x14ac:dyDescent="0.2">
      <c r="B391" s="68" t="s">
        <v>326</v>
      </c>
      <c r="C391" s="68"/>
      <c r="D391" s="59"/>
      <c r="E391" s="59"/>
      <c r="F391" s="59"/>
    </row>
    <row r="392" spans="2:6" x14ac:dyDescent="0.2">
      <c r="D392" s="60">
        <f>D352+D360+D367+D375+D377+D390+D391+D383+D387+D364</f>
        <v>667958.89795000001</v>
      </c>
      <c r="E392" s="60">
        <f t="shared" ref="E392:F392" si="170">E352+E360+E367+E375+E377+E390+E391+E383+E387+E364</f>
        <v>32547.128330000014</v>
      </c>
      <c r="F392" s="60">
        <f t="shared" si="170"/>
        <v>700506.02627999999</v>
      </c>
    </row>
    <row r="393" spans="2:6" x14ac:dyDescent="0.2">
      <c r="D393" s="60">
        <f>D344-D392</f>
        <v>0</v>
      </c>
      <c r="E393" s="60">
        <f>E344-E392</f>
        <v>0</v>
      </c>
      <c r="F393" s="60">
        <f>F344-F392</f>
        <v>0</v>
      </c>
    </row>
  </sheetData>
  <mergeCells count="9">
    <mergeCell ref="G1:I1"/>
    <mergeCell ref="D1:F1"/>
    <mergeCell ref="A3:F3"/>
    <mergeCell ref="B5:C6"/>
    <mergeCell ref="D5:D7"/>
    <mergeCell ref="A5:A7"/>
    <mergeCell ref="E5:E7"/>
    <mergeCell ref="F5:F7"/>
    <mergeCell ref="D2:F2"/>
  </mergeCells>
  <pageMargins left="0.9055118110236221" right="0" top="0" bottom="0" header="0" footer="0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5"/>
  <sheetViews>
    <sheetView tabSelected="1" view="pageBreakPreview" topLeftCell="A367" zoomScaleNormal="100" zoomScaleSheetLayoutView="100" workbookViewId="0">
      <selection activeCell="E368" sqref="E368"/>
    </sheetView>
  </sheetViews>
  <sheetFormatPr defaultRowHeight="15" x14ac:dyDescent="0.25"/>
  <cols>
    <col min="1" max="1" width="37.85546875" style="29" customWidth="1"/>
    <col min="2" max="3" width="6.28515625" style="28" customWidth="1"/>
    <col min="4" max="4" width="8.140625" style="28" customWidth="1"/>
    <col min="5" max="5" width="10.7109375" style="28" customWidth="1"/>
    <col min="6" max="6" width="7.5703125" style="28" customWidth="1"/>
    <col min="7" max="7" width="13.7109375" style="300" customWidth="1"/>
    <col min="8" max="8" width="13.5703125" style="300" customWidth="1"/>
    <col min="9" max="9" width="12.28515625" style="300" customWidth="1"/>
    <col min="10" max="10" width="13.7109375" style="28" customWidth="1"/>
    <col min="11" max="11" width="10" style="28" bestFit="1" customWidth="1"/>
    <col min="12" max="16384" width="9.140625" style="28"/>
  </cols>
  <sheetData>
    <row r="1" spans="1:10" x14ac:dyDescent="0.25">
      <c r="B1" s="41"/>
      <c r="C1" s="41"/>
      <c r="D1" s="41"/>
      <c r="E1" s="42"/>
      <c r="F1" s="42"/>
      <c r="G1" s="341" t="s">
        <v>598</v>
      </c>
      <c r="H1" s="305"/>
      <c r="I1" s="305"/>
    </row>
    <row r="2" spans="1:10" s="41" customFormat="1" ht="65.25" customHeight="1" x14ac:dyDescent="0.25">
      <c r="A2" s="52"/>
      <c r="E2" s="51"/>
      <c r="F2" s="53"/>
      <c r="G2" s="341" t="s">
        <v>662</v>
      </c>
      <c r="H2" s="305"/>
      <c r="I2" s="305"/>
    </row>
    <row r="3" spans="1:10" s="41" customFormat="1" ht="31.5" customHeight="1" x14ac:dyDescent="0.25">
      <c r="A3" s="323" t="s">
        <v>668</v>
      </c>
      <c r="B3" s="324"/>
      <c r="C3" s="324"/>
      <c r="D3" s="324"/>
      <c r="E3" s="324"/>
      <c r="F3" s="324"/>
      <c r="G3" s="325"/>
      <c r="H3" s="325"/>
      <c r="I3" s="325"/>
    </row>
    <row r="4" spans="1:10" x14ac:dyDescent="0.2">
      <c r="G4" s="296"/>
      <c r="H4" s="296"/>
      <c r="I4" s="296" t="s">
        <v>161</v>
      </c>
    </row>
    <row r="5" spans="1:10" s="36" customFormat="1" x14ac:dyDescent="0.2">
      <c r="A5" s="333" t="s">
        <v>220</v>
      </c>
      <c r="B5" s="326" t="s">
        <v>219</v>
      </c>
      <c r="C5" s="342"/>
      <c r="D5" s="342"/>
      <c r="E5" s="342"/>
      <c r="F5" s="327"/>
      <c r="G5" s="330" t="s">
        <v>623</v>
      </c>
      <c r="H5" s="336" t="s">
        <v>250</v>
      </c>
      <c r="I5" s="330" t="s">
        <v>620</v>
      </c>
    </row>
    <row r="6" spans="1:10" s="36" customFormat="1" ht="25.5" x14ac:dyDescent="0.2">
      <c r="A6" s="335"/>
      <c r="B6" s="40" t="s">
        <v>218</v>
      </c>
      <c r="C6" s="40" t="s">
        <v>160</v>
      </c>
      <c r="D6" s="40" t="s">
        <v>159</v>
      </c>
      <c r="E6" s="40" t="s">
        <v>158</v>
      </c>
      <c r="F6" s="40" t="s">
        <v>217</v>
      </c>
      <c r="G6" s="343"/>
      <c r="H6" s="344"/>
      <c r="I6" s="343"/>
    </row>
    <row r="7" spans="1:10" s="37" customFormat="1" ht="11.25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8">
        <v>7</v>
      </c>
      <c r="H7" s="38">
        <v>8</v>
      </c>
      <c r="I7" s="38">
        <v>9</v>
      </c>
    </row>
    <row r="8" spans="1:10" s="36" customFormat="1" ht="36" x14ac:dyDescent="0.2">
      <c r="A8" s="54" t="s">
        <v>247</v>
      </c>
      <c r="B8" s="5" t="s">
        <v>215</v>
      </c>
      <c r="C8" s="3"/>
      <c r="D8" s="3"/>
      <c r="E8" s="3"/>
      <c r="F8" s="3"/>
      <c r="G8" s="59">
        <f>G9+G95</f>
        <v>385379.88004000002</v>
      </c>
      <c r="H8" s="59">
        <f>H9+H95</f>
        <v>-1729.56476</v>
      </c>
      <c r="I8" s="59">
        <f>I9+I95</f>
        <v>383650.3152800001</v>
      </c>
      <c r="J8" s="97"/>
    </row>
    <row r="9" spans="1:10" ht="12.75" x14ac:dyDescent="0.2">
      <c r="A9" s="4" t="s">
        <v>90</v>
      </c>
      <c r="B9" s="3" t="s">
        <v>215</v>
      </c>
      <c r="C9" s="3" t="s">
        <v>79</v>
      </c>
      <c r="D9" s="3"/>
      <c r="E9" s="3"/>
      <c r="F9" s="3"/>
      <c r="G9" s="60">
        <f>G29+G63+G69+G10+G54</f>
        <v>380324.98003999999</v>
      </c>
      <c r="H9" s="60">
        <f>H29+H63+H69+H10+H54</f>
        <v>-1729.56476</v>
      </c>
      <c r="I9" s="60">
        <f>I29+I63+I69+I10+I54</f>
        <v>378595.41528000007</v>
      </c>
      <c r="J9" s="98"/>
    </row>
    <row r="10" spans="1:10" ht="12.75" x14ac:dyDescent="0.2">
      <c r="A10" s="4" t="s">
        <v>89</v>
      </c>
      <c r="B10" s="3" t="s">
        <v>215</v>
      </c>
      <c r="C10" s="3" t="s">
        <v>79</v>
      </c>
      <c r="D10" s="3" t="s">
        <v>15</v>
      </c>
      <c r="E10" s="3"/>
      <c r="F10" s="3"/>
      <c r="G10" s="60">
        <f>G11</f>
        <v>83808.66767000001</v>
      </c>
      <c r="H10" s="60">
        <f t="shared" ref="H10:I10" si="0">H11</f>
        <v>-720.69468999999981</v>
      </c>
      <c r="I10" s="60">
        <f t="shared" si="0"/>
        <v>83087.972980000006</v>
      </c>
      <c r="J10" s="98"/>
    </row>
    <row r="11" spans="1:10" ht="48" x14ac:dyDescent="0.2">
      <c r="A11" s="4" t="s">
        <v>371</v>
      </c>
      <c r="B11" s="3" t="s">
        <v>215</v>
      </c>
      <c r="C11" s="3" t="s">
        <v>79</v>
      </c>
      <c r="D11" s="3" t="s">
        <v>15</v>
      </c>
      <c r="E11" s="3" t="s">
        <v>439</v>
      </c>
      <c r="F11" s="3"/>
      <c r="G11" s="60">
        <f>G12+G23+G26</f>
        <v>83808.66767000001</v>
      </c>
      <c r="H11" s="60">
        <f t="shared" ref="H11:I11" si="1">H12+H23+H26</f>
        <v>-720.69468999999981</v>
      </c>
      <c r="I11" s="60">
        <f t="shared" si="1"/>
        <v>83087.972980000006</v>
      </c>
      <c r="J11" s="98"/>
    </row>
    <row r="12" spans="1:10" ht="60" x14ac:dyDescent="0.2">
      <c r="A12" s="4" t="s">
        <v>372</v>
      </c>
      <c r="B12" s="3" t="s">
        <v>215</v>
      </c>
      <c r="C12" s="3" t="s">
        <v>79</v>
      </c>
      <c r="D12" s="3" t="s">
        <v>15</v>
      </c>
      <c r="E12" s="3" t="s">
        <v>438</v>
      </c>
      <c r="F12" s="3"/>
      <c r="G12" s="60">
        <f>G13+G19+G17+G15+G21</f>
        <v>81620.35500000001</v>
      </c>
      <c r="H12" s="60">
        <f>H13+H19+H17+H15+H21</f>
        <v>-720.69468999999992</v>
      </c>
      <c r="I12" s="60">
        <f t="shared" ref="I12" si="2">I13+I19+I17+I15+I21</f>
        <v>80899.660310000007</v>
      </c>
      <c r="J12" s="98"/>
    </row>
    <row r="13" spans="1:10" ht="48" x14ac:dyDescent="0.2">
      <c r="A13" s="4" t="s">
        <v>216</v>
      </c>
      <c r="B13" s="3" t="s">
        <v>215</v>
      </c>
      <c r="C13" s="3" t="s">
        <v>79</v>
      </c>
      <c r="D13" s="3" t="s">
        <v>15</v>
      </c>
      <c r="E13" s="3" t="s">
        <v>440</v>
      </c>
      <c r="F13" s="3"/>
      <c r="G13" s="60">
        <f t="shared" ref="G13:I13" si="3">G14</f>
        <v>6573.01</v>
      </c>
      <c r="H13" s="60">
        <f t="shared" si="3"/>
        <v>535.59531000000004</v>
      </c>
      <c r="I13" s="60">
        <f t="shared" si="3"/>
        <v>7108.6053099999999</v>
      </c>
      <c r="J13" s="98"/>
    </row>
    <row r="14" spans="1:10" ht="36" x14ac:dyDescent="0.2">
      <c r="A14" s="4" t="s">
        <v>29</v>
      </c>
      <c r="B14" s="3" t="s">
        <v>215</v>
      </c>
      <c r="C14" s="3" t="s">
        <v>79</v>
      </c>
      <c r="D14" s="3" t="s">
        <v>15</v>
      </c>
      <c r="E14" s="3" t="s">
        <v>440</v>
      </c>
      <c r="F14" s="3" t="s">
        <v>26</v>
      </c>
      <c r="G14" s="60">
        <v>6573.01</v>
      </c>
      <c r="H14" s="60">
        <f>53.9-84.17+25.11531+50+300+50+18.35+122.4</f>
        <v>535.59531000000004</v>
      </c>
      <c r="I14" s="60">
        <f>G14+H14</f>
        <v>7108.6053099999999</v>
      </c>
      <c r="J14" s="98"/>
    </row>
    <row r="15" spans="1:10" ht="48" x14ac:dyDescent="0.2">
      <c r="A15" s="4" t="s">
        <v>373</v>
      </c>
      <c r="B15" s="3" t="s">
        <v>215</v>
      </c>
      <c r="C15" s="3" t="s">
        <v>79</v>
      </c>
      <c r="D15" s="3" t="s">
        <v>15</v>
      </c>
      <c r="E15" s="3" t="s">
        <v>441</v>
      </c>
      <c r="F15" s="3"/>
      <c r="G15" s="60">
        <f t="shared" ref="G15:I15" si="4">G16</f>
        <v>12974.705</v>
      </c>
      <c r="H15" s="60">
        <f>H16</f>
        <v>-1256.29</v>
      </c>
      <c r="I15" s="60">
        <f t="shared" si="4"/>
        <v>11718.415000000001</v>
      </c>
      <c r="J15" s="98"/>
    </row>
    <row r="16" spans="1:10" ht="36" x14ac:dyDescent="0.2">
      <c r="A16" s="4" t="s">
        <v>29</v>
      </c>
      <c r="B16" s="3" t="s">
        <v>215</v>
      </c>
      <c r="C16" s="3" t="s">
        <v>79</v>
      </c>
      <c r="D16" s="3" t="s">
        <v>15</v>
      </c>
      <c r="E16" s="3" t="s">
        <v>441</v>
      </c>
      <c r="F16" s="278">
        <v>600</v>
      </c>
      <c r="G16" s="60">
        <f>10153.48+2821.225</f>
        <v>12974.705</v>
      </c>
      <c r="H16" s="60">
        <f>-1256.29</f>
        <v>-1256.29</v>
      </c>
      <c r="I16" s="60">
        <f>G16+H16</f>
        <v>11718.415000000001</v>
      </c>
      <c r="J16" s="98"/>
    </row>
    <row r="17" spans="1:10" ht="48" x14ac:dyDescent="0.2">
      <c r="A17" s="7" t="s">
        <v>86</v>
      </c>
      <c r="B17" s="3" t="s">
        <v>215</v>
      </c>
      <c r="C17" s="3" t="s">
        <v>79</v>
      </c>
      <c r="D17" s="3" t="s">
        <v>15</v>
      </c>
      <c r="E17" s="3" t="s">
        <v>442</v>
      </c>
      <c r="F17" s="3"/>
      <c r="G17" s="60">
        <f t="shared" ref="G17:I17" si="5">G18</f>
        <v>198</v>
      </c>
      <c r="H17" s="60">
        <f t="shared" si="5"/>
        <v>0</v>
      </c>
      <c r="I17" s="60">
        <f t="shared" si="5"/>
        <v>198</v>
      </c>
      <c r="J17" s="98"/>
    </row>
    <row r="18" spans="1:10" ht="36" x14ac:dyDescent="0.2">
      <c r="A18" s="4" t="s">
        <v>29</v>
      </c>
      <c r="B18" s="3" t="s">
        <v>215</v>
      </c>
      <c r="C18" s="3" t="s">
        <v>79</v>
      </c>
      <c r="D18" s="3" t="s">
        <v>15</v>
      </c>
      <c r="E18" s="3" t="s">
        <v>442</v>
      </c>
      <c r="F18" s="3" t="s">
        <v>26</v>
      </c>
      <c r="G18" s="60">
        <v>198</v>
      </c>
      <c r="H18" s="60"/>
      <c r="I18" s="60">
        <f>G18+H18</f>
        <v>198</v>
      </c>
      <c r="J18" s="98"/>
    </row>
    <row r="19" spans="1:10" ht="132" x14ac:dyDescent="0.2">
      <c r="A19" s="4" t="s">
        <v>334</v>
      </c>
      <c r="B19" s="3" t="s">
        <v>215</v>
      </c>
      <c r="C19" s="3" t="s">
        <v>79</v>
      </c>
      <c r="D19" s="3" t="s">
        <v>15</v>
      </c>
      <c r="E19" s="3" t="s">
        <v>444</v>
      </c>
      <c r="F19" s="3"/>
      <c r="G19" s="60">
        <f t="shared" ref="G19:I19" si="6">G20</f>
        <v>48325.4</v>
      </c>
      <c r="H19" s="60">
        <f t="shared" si="6"/>
        <v>0</v>
      </c>
      <c r="I19" s="60">
        <f t="shared" si="6"/>
        <v>48325.4</v>
      </c>
      <c r="J19" s="98"/>
    </row>
    <row r="20" spans="1:10" ht="36" x14ac:dyDescent="0.2">
      <c r="A20" s="4" t="s">
        <v>29</v>
      </c>
      <c r="B20" s="3" t="s">
        <v>215</v>
      </c>
      <c r="C20" s="3" t="s">
        <v>79</v>
      </c>
      <c r="D20" s="3" t="s">
        <v>15</v>
      </c>
      <c r="E20" s="3" t="s">
        <v>444</v>
      </c>
      <c r="F20" s="3" t="s">
        <v>26</v>
      </c>
      <c r="G20" s="60">
        <f>32436+15889.4</f>
        <v>48325.4</v>
      </c>
      <c r="H20" s="60"/>
      <c r="I20" s="60">
        <f>G20+H20</f>
        <v>48325.4</v>
      </c>
      <c r="J20" s="98"/>
    </row>
    <row r="21" spans="1:10" ht="24" x14ac:dyDescent="0.2">
      <c r="A21" s="4" t="s">
        <v>545</v>
      </c>
      <c r="B21" s="3" t="s">
        <v>215</v>
      </c>
      <c r="C21" s="3" t="s">
        <v>79</v>
      </c>
      <c r="D21" s="3" t="s">
        <v>15</v>
      </c>
      <c r="E21" s="3" t="s">
        <v>551</v>
      </c>
      <c r="F21" s="3"/>
      <c r="G21" s="60">
        <f t="shared" ref="G21:I21" si="7">G22</f>
        <v>13549.24</v>
      </c>
      <c r="H21" s="60">
        <f t="shared" si="7"/>
        <v>0</v>
      </c>
      <c r="I21" s="60">
        <f t="shared" si="7"/>
        <v>13549.24</v>
      </c>
      <c r="J21" s="98"/>
    </row>
    <row r="22" spans="1:10" ht="36" x14ac:dyDescent="0.2">
      <c r="A22" s="4" t="s">
        <v>29</v>
      </c>
      <c r="B22" s="3" t="s">
        <v>215</v>
      </c>
      <c r="C22" s="3" t="s">
        <v>79</v>
      </c>
      <c r="D22" s="3" t="s">
        <v>15</v>
      </c>
      <c r="E22" s="3" t="s">
        <v>551</v>
      </c>
      <c r="F22" s="3" t="s">
        <v>26</v>
      </c>
      <c r="G22" s="60">
        <f>10658.57+2890.67</f>
        <v>13549.24</v>
      </c>
      <c r="H22" s="60"/>
      <c r="I22" s="60">
        <f>G22+H22</f>
        <v>13549.24</v>
      </c>
      <c r="J22" s="98"/>
    </row>
    <row r="23" spans="1:10" ht="48" x14ac:dyDescent="0.2">
      <c r="A23" s="4" t="s">
        <v>375</v>
      </c>
      <c r="B23" s="3" t="s">
        <v>215</v>
      </c>
      <c r="C23" s="3" t="s">
        <v>79</v>
      </c>
      <c r="D23" s="3" t="s">
        <v>15</v>
      </c>
      <c r="E23" s="3" t="s">
        <v>446</v>
      </c>
      <c r="F23" s="3"/>
      <c r="G23" s="60">
        <f>G24</f>
        <v>2188.3126699999998</v>
      </c>
      <c r="H23" s="60">
        <f t="shared" ref="H23:I24" si="8">H24</f>
        <v>-2188.3126699999998</v>
      </c>
      <c r="I23" s="60">
        <f t="shared" si="8"/>
        <v>0</v>
      </c>
      <c r="J23" s="98"/>
    </row>
    <row r="24" spans="1:10" ht="36" x14ac:dyDescent="0.2">
      <c r="A24" s="4" t="s">
        <v>605</v>
      </c>
      <c r="B24" s="3" t="s">
        <v>215</v>
      </c>
      <c r="C24" s="3" t="s">
        <v>79</v>
      </c>
      <c r="D24" s="3" t="s">
        <v>15</v>
      </c>
      <c r="E24" s="3" t="s">
        <v>447</v>
      </c>
      <c r="F24" s="3"/>
      <c r="G24" s="60">
        <f>G25</f>
        <v>2188.3126699999998</v>
      </c>
      <c r="H24" s="60">
        <f t="shared" si="8"/>
        <v>-2188.3126699999998</v>
      </c>
      <c r="I24" s="60">
        <f t="shared" si="8"/>
        <v>0</v>
      </c>
      <c r="J24" s="98"/>
    </row>
    <row r="25" spans="1:10" ht="36" x14ac:dyDescent="0.2">
      <c r="A25" s="4" t="s">
        <v>29</v>
      </c>
      <c r="B25" s="3" t="s">
        <v>215</v>
      </c>
      <c r="C25" s="3" t="s">
        <v>79</v>
      </c>
      <c r="D25" s="3" t="s">
        <v>15</v>
      </c>
      <c r="E25" s="3" t="s">
        <v>447</v>
      </c>
      <c r="F25" s="3" t="s">
        <v>26</v>
      </c>
      <c r="G25" s="60">
        <v>2188.3126699999998</v>
      </c>
      <c r="H25" s="60">
        <f>-2188.31267</f>
        <v>-2188.3126699999998</v>
      </c>
      <c r="I25" s="60">
        <f>G25+H25</f>
        <v>0</v>
      </c>
      <c r="J25" s="98"/>
    </row>
    <row r="26" spans="1:10" ht="48" x14ac:dyDescent="0.2">
      <c r="A26" s="7" t="s">
        <v>650</v>
      </c>
      <c r="B26" s="3" t="s">
        <v>80</v>
      </c>
      <c r="C26" s="3" t="s">
        <v>79</v>
      </c>
      <c r="D26" s="3" t="s">
        <v>15</v>
      </c>
      <c r="E26" s="3" t="s">
        <v>649</v>
      </c>
      <c r="F26" s="3"/>
      <c r="G26" s="60">
        <f>G27</f>
        <v>0</v>
      </c>
      <c r="H26" s="60">
        <f t="shared" ref="H26:I27" si="9">H27</f>
        <v>2188.3126699999998</v>
      </c>
      <c r="I26" s="60">
        <f t="shared" si="9"/>
        <v>2188.3126699999998</v>
      </c>
      <c r="J26" s="98"/>
    </row>
    <row r="27" spans="1:10" ht="24" x14ac:dyDescent="0.2">
      <c r="A27" s="7" t="s">
        <v>651</v>
      </c>
      <c r="B27" s="3" t="s">
        <v>80</v>
      </c>
      <c r="C27" s="3" t="s">
        <v>79</v>
      </c>
      <c r="D27" s="3" t="s">
        <v>15</v>
      </c>
      <c r="E27" s="3" t="s">
        <v>652</v>
      </c>
      <c r="F27" s="3"/>
      <c r="G27" s="60">
        <f>G28</f>
        <v>0</v>
      </c>
      <c r="H27" s="60">
        <f t="shared" si="9"/>
        <v>2188.3126699999998</v>
      </c>
      <c r="I27" s="60">
        <f t="shared" si="9"/>
        <v>2188.3126699999998</v>
      </c>
      <c r="J27" s="98"/>
    </row>
    <row r="28" spans="1:10" ht="24" x14ac:dyDescent="0.2">
      <c r="A28" s="4" t="s">
        <v>47</v>
      </c>
      <c r="B28" s="3" t="s">
        <v>80</v>
      </c>
      <c r="C28" s="3" t="s">
        <v>79</v>
      </c>
      <c r="D28" s="3" t="s">
        <v>15</v>
      </c>
      <c r="E28" s="3" t="s">
        <v>652</v>
      </c>
      <c r="F28" s="3" t="s">
        <v>51</v>
      </c>
      <c r="G28" s="60"/>
      <c r="H28" s="60">
        <f>2188.31267</f>
        <v>2188.3126699999998</v>
      </c>
      <c r="I28" s="60">
        <f>G28+H28</f>
        <v>2188.3126699999998</v>
      </c>
      <c r="J28" s="98"/>
    </row>
    <row r="29" spans="1:10" ht="12.75" x14ac:dyDescent="0.2">
      <c r="A29" s="4" t="s">
        <v>88</v>
      </c>
      <c r="B29" s="3" t="s">
        <v>215</v>
      </c>
      <c r="C29" s="3" t="s">
        <v>79</v>
      </c>
      <c r="D29" s="3" t="s">
        <v>27</v>
      </c>
      <c r="E29" s="3"/>
      <c r="F29" s="3"/>
      <c r="G29" s="60">
        <f>G30+G52</f>
        <v>255745.20600000001</v>
      </c>
      <c r="H29" s="60">
        <f t="shared" ref="H29:I29" si="10">H30+H52</f>
        <v>-1323.0784400000002</v>
      </c>
      <c r="I29" s="60">
        <f t="shared" si="10"/>
        <v>254422.12756000002</v>
      </c>
      <c r="J29" s="98"/>
    </row>
    <row r="30" spans="1:10" ht="48" x14ac:dyDescent="0.2">
      <c r="A30" s="4" t="s">
        <v>371</v>
      </c>
      <c r="B30" s="3" t="s">
        <v>215</v>
      </c>
      <c r="C30" s="3" t="s">
        <v>79</v>
      </c>
      <c r="D30" s="3" t="s">
        <v>27</v>
      </c>
      <c r="E30" s="3" t="s">
        <v>439</v>
      </c>
      <c r="F30" s="3"/>
      <c r="G30" s="60">
        <f>G31+G46+G49</f>
        <v>255745.20600000001</v>
      </c>
      <c r="H30" s="60">
        <f t="shared" ref="H30:I30" si="11">H31+H46+H49</f>
        <v>-1335.5784400000002</v>
      </c>
      <c r="I30" s="60">
        <f t="shared" si="11"/>
        <v>254409.62756000002</v>
      </c>
      <c r="J30" s="98"/>
    </row>
    <row r="31" spans="1:10" ht="60" x14ac:dyDescent="0.2">
      <c r="A31" s="4" t="s">
        <v>372</v>
      </c>
      <c r="B31" s="3" t="s">
        <v>215</v>
      </c>
      <c r="C31" s="3" t="s">
        <v>79</v>
      </c>
      <c r="D31" s="3" t="s">
        <v>27</v>
      </c>
      <c r="E31" s="3" t="s">
        <v>438</v>
      </c>
      <c r="F31" s="3"/>
      <c r="G31" s="60">
        <f>G32+G40+G42+G36+G34+G44+G38</f>
        <v>250911.63569</v>
      </c>
      <c r="H31" s="60">
        <f>H32+H40+H42+H36+H34+H44+H38</f>
        <v>-1335.52865</v>
      </c>
      <c r="I31" s="60">
        <f t="shared" ref="I31" si="12">I32+I40+I42+I36+I34+I44+I38</f>
        <v>249576.10704000003</v>
      </c>
      <c r="J31" s="98"/>
    </row>
    <row r="32" spans="1:10" ht="48" x14ac:dyDescent="0.2">
      <c r="A32" s="4" t="s">
        <v>216</v>
      </c>
      <c r="B32" s="3" t="s">
        <v>215</v>
      </c>
      <c r="C32" s="3" t="s">
        <v>79</v>
      </c>
      <c r="D32" s="3" t="s">
        <v>27</v>
      </c>
      <c r="E32" s="3" t="s">
        <v>440</v>
      </c>
      <c r="F32" s="3"/>
      <c r="G32" s="60">
        <f t="shared" ref="G32:I32" si="13">G33</f>
        <v>41708.641000000003</v>
      </c>
      <c r="H32" s="60">
        <f>H33</f>
        <v>1281.9113500000001</v>
      </c>
      <c r="I32" s="60">
        <f t="shared" si="13"/>
        <v>42990.552350000005</v>
      </c>
      <c r="J32" s="98"/>
    </row>
    <row r="33" spans="1:11" ht="36" x14ac:dyDescent="0.2">
      <c r="A33" s="4" t="s">
        <v>29</v>
      </c>
      <c r="B33" s="3" t="s">
        <v>215</v>
      </c>
      <c r="C33" s="3" t="s">
        <v>79</v>
      </c>
      <c r="D33" s="3" t="s">
        <v>27</v>
      </c>
      <c r="E33" s="3" t="s">
        <v>440</v>
      </c>
      <c r="F33" s="3" t="s">
        <v>26</v>
      </c>
      <c r="G33" s="60">
        <v>41708.641000000003</v>
      </c>
      <c r="H33" s="60">
        <f>-100+130.2699+33+25+0.0008+70+430.93+377.6+35+278.46623+11.23758-0.59316-9</f>
        <v>1281.9113500000001</v>
      </c>
      <c r="I33" s="60">
        <f>G33+H33</f>
        <v>42990.552350000005</v>
      </c>
      <c r="J33" s="2" t="e">
        <f>#REF!+#REF!</f>
        <v>#REF!</v>
      </c>
      <c r="K33" s="2">
        <f>21620.45+7307.6505+1002.3575</f>
        <v>29930.457999999999</v>
      </c>
    </row>
    <row r="34" spans="1:11" ht="48" x14ac:dyDescent="0.2">
      <c r="A34" s="4" t="s">
        <v>373</v>
      </c>
      <c r="B34" s="3" t="s">
        <v>215</v>
      </c>
      <c r="C34" s="3" t="s">
        <v>79</v>
      </c>
      <c r="D34" s="3" t="s">
        <v>27</v>
      </c>
      <c r="E34" s="3" t="s">
        <v>441</v>
      </c>
      <c r="F34" s="3"/>
      <c r="G34" s="60">
        <f t="shared" ref="G34:I34" si="14">G35</f>
        <v>29027.271229999998</v>
      </c>
      <c r="H34" s="60">
        <f t="shared" si="14"/>
        <v>-2617.44</v>
      </c>
      <c r="I34" s="60">
        <f t="shared" si="14"/>
        <v>26409.83123</v>
      </c>
      <c r="J34" s="98"/>
    </row>
    <row r="35" spans="1:11" ht="36" x14ac:dyDescent="0.2">
      <c r="A35" s="4" t="s">
        <v>29</v>
      </c>
      <c r="B35" s="3" t="s">
        <v>215</v>
      </c>
      <c r="C35" s="3" t="s">
        <v>79</v>
      </c>
      <c r="D35" s="3" t="s">
        <v>27</v>
      </c>
      <c r="E35" s="3" t="s">
        <v>441</v>
      </c>
      <c r="F35" s="3" t="s">
        <v>26</v>
      </c>
      <c r="G35" s="60">
        <f>29027.27123</f>
        <v>29027.271229999998</v>
      </c>
      <c r="H35" s="60">
        <f>-2617.44</f>
        <v>-2617.44</v>
      </c>
      <c r="I35" s="60">
        <f>G35+H35</f>
        <v>26409.83123</v>
      </c>
      <c r="J35" s="98"/>
    </row>
    <row r="36" spans="1:11" ht="48" x14ac:dyDescent="0.2">
      <c r="A36" s="7" t="s">
        <v>86</v>
      </c>
      <c r="B36" s="3" t="s">
        <v>215</v>
      </c>
      <c r="C36" s="3" t="s">
        <v>79</v>
      </c>
      <c r="D36" s="3" t="s">
        <v>27</v>
      </c>
      <c r="E36" s="3" t="s">
        <v>442</v>
      </c>
      <c r="F36" s="3"/>
      <c r="G36" s="60">
        <f t="shared" ref="G36:I36" si="15">G37</f>
        <v>3002</v>
      </c>
      <c r="H36" s="60">
        <f>H37</f>
        <v>0</v>
      </c>
      <c r="I36" s="60">
        <f t="shared" si="15"/>
        <v>3002</v>
      </c>
      <c r="J36" s="98"/>
    </row>
    <row r="37" spans="1:11" ht="36" x14ac:dyDescent="0.2">
      <c r="A37" s="4" t="s">
        <v>29</v>
      </c>
      <c r="B37" s="3" t="s">
        <v>215</v>
      </c>
      <c r="C37" s="3" t="s">
        <v>79</v>
      </c>
      <c r="D37" s="3" t="s">
        <v>27</v>
      </c>
      <c r="E37" s="3" t="s">
        <v>442</v>
      </c>
      <c r="F37" s="3" t="s">
        <v>26</v>
      </c>
      <c r="G37" s="60">
        <v>3002</v>
      </c>
      <c r="H37" s="60"/>
      <c r="I37" s="60">
        <f>G37+H37</f>
        <v>3002</v>
      </c>
      <c r="J37" s="98"/>
    </row>
    <row r="38" spans="1:11" ht="60" x14ac:dyDescent="0.2">
      <c r="A38" s="4" t="s">
        <v>374</v>
      </c>
      <c r="B38" s="3" t="s">
        <v>215</v>
      </c>
      <c r="C38" s="3" t="s">
        <v>79</v>
      </c>
      <c r="D38" s="3" t="s">
        <v>27</v>
      </c>
      <c r="E38" s="3" t="s">
        <v>443</v>
      </c>
      <c r="F38" s="3"/>
      <c r="G38" s="60">
        <f t="shared" ref="G38:I38" si="16">G39</f>
        <v>2802.9591799999998</v>
      </c>
      <c r="H38" s="60">
        <f t="shared" si="16"/>
        <v>0</v>
      </c>
      <c r="I38" s="60">
        <f t="shared" si="16"/>
        <v>2802.9591799999998</v>
      </c>
      <c r="J38" s="98"/>
    </row>
    <row r="39" spans="1:11" ht="36" x14ac:dyDescent="0.2">
      <c r="A39" s="4" t="s">
        <v>29</v>
      </c>
      <c r="B39" s="3" t="s">
        <v>215</v>
      </c>
      <c r="C39" s="3" t="s">
        <v>79</v>
      </c>
      <c r="D39" s="3" t="s">
        <v>27</v>
      </c>
      <c r="E39" s="3" t="s">
        <v>443</v>
      </c>
      <c r="F39" s="3" t="s">
        <v>26</v>
      </c>
      <c r="G39" s="60">
        <f>2802.95918</f>
        <v>2802.9591799999998</v>
      </c>
      <c r="H39" s="60"/>
      <c r="I39" s="60">
        <f>G39+H39</f>
        <v>2802.9591799999998</v>
      </c>
      <c r="J39" s="98"/>
    </row>
    <row r="40" spans="1:11" ht="132" x14ac:dyDescent="0.2">
      <c r="A40" s="4" t="s">
        <v>334</v>
      </c>
      <c r="B40" s="3" t="s">
        <v>215</v>
      </c>
      <c r="C40" s="3" t="s">
        <v>79</v>
      </c>
      <c r="D40" s="3" t="s">
        <v>27</v>
      </c>
      <c r="E40" s="3" t="s">
        <v>444</v>
      </c>
      <c r="F40" s="3"/>
      <c r="G40" s="60">
        <f t="shared" ref="G40:I40" si="17">G41</f>
        <v>142055.29999999999</v>
      </c>
      <c r="H40" s="60">
        <f t="shared" si="17"/>
        <v>0</v>
      </c>
      <c r="I40" s="60">
        <f t="shared" si="17"/>
        <v>142055.29999999999</v>
      </c>
      <c r="J40" s="98"/>
    </row>
    <row r="41" spans="1:11" ht="36" x14ac:dyDescent="0.2">
      <c r="A41" s="4" t="s">
        <v>29</v>
      </c>
      <c r="B41" s="3" t="s">
        <v>215</v>
      </c>
      <c r="C41" s="3" t="s">
        <v>79</v>
      </c>
      <c r="D41" s="3" t="s">
        <v>27</v>
      </c>
      <c r="E41" s="3" t="s">
        <v>444</v>
      </c>
      <c r="F41" s="3" t="s">
        <v>26</v>
      </c>
      <c r="G41" s="60">
        <v>142055.29999999999</v>
      </c>
      <c r="H41" s="60"/>
      <c r="I41" s="60">
        <f>G41+H41</f>
        <v>142055.29999999999</v>
      </c>
      <c r="J41" s="98"/>
    </row>
    <row r="42" spans="1:11" ht="36" x14ac:dyDescent="0.2">
      <c r="A42" s="4" t="s">
        <v>233</v>
      </c>
      <c r="B42" s="3" t="s">
        <v>215</v>
      </c>
      <c r="C42" s="3" t="s">
        <v>79</v>
      </c>
      <c r="D42" s="3" t="s">
        <v>27</v>
      </c>
      <c r="E42" s="3" t="s">
        <v>445</v>
      </c>
      <c r="F42" s="3"/>
      <c r="G42" s="60">
        <f t="shared" ref="G42:I42" si="18">G43</f>
        <v>1126.83673</v>
      </c>
      <c r="H42" s="60">
        <f t="shared" si="18"/>
        <v>0</v>
      </c>
      <c r="I42" s="60">
        <f t="shared" si="18"/>
        <v>1126.83673</v>
      </c>
      <c r="J42" s="98"/>
    </row>
    <row r="43" spans="1:11" ht="36" x14ac:dyDescent="0.2">
      <c r="A43" s="4" t="s">
        <v>29</v>
      </c>
      <c r="B43" s="3" t="s">
        <v>215</v>
      </c>
      <c r="C43" s="3" t="s">
        <v>79</v>
      </c>
      <c r="D43" s="3" t="s">
        <v>27</v>
      </c>
      <c r="E43" s="3" t="s">
        <v>445</v>
      </c>
      <c r="F43" s="3" t="s">
        <v>26</v>
      </c>
      <c r="G43" s="60">
        <v>1126.83673</v>
      </c>
      <c r="H43" s="60"/>
      <c r="I43" s="60">
        <f>G43+H43</f>
        <v>1126.83673</v>
      </c>
      <c r="J43" s="98"/>
    </row>
    <row r="44" spans="1:11" ht="24" x14ac:dyDescent="0.2">
      <c r="A44" s="4" t="s">
        <v>545</v>
      </c>
      <c r="B44" s="3" t="s">
        <v>215</v>
      </c>
      <c r="C44" s="3" t="s">
        <v>79</v>
      </c>
      <c r="D44" s="3" t="s">
        <v>27</v>
      </c>
      <c r="E44" s="3" t="s">
        <v>551</v>
      </c>
      <c r="F44" s="3"/>
      <c r="G44" s="60">
        <f t="shared" ref="G44:I44" si="19">G45</f>
        <v>31188.627550000001</v>
      </c>
      <c r="H44" s="60">
        <f t="shared" si="19"/>
        <v>0</v>
      </c>
      <c r="I44" s="60">
        <f t="shared" si="19"/>
        <v>31188.627550000001</v>
      </c>
      <c r="J44" s="98"/>
    </row>
    <row r="45" spans="1:11" ht="36" x14ac:dyDescent="0.2">
      <c r="A45" s="4" t="s">
        <v>29</v>
      </c>
      <c r="B45" s="3" t="s">
        <v>215</v>
      </c>
      <c r="C45" s="3" t="s">
        <v>79</v>
      </c>
      <c r="D45" s="3" t="s">
        <v>27</v>
      </c>
      <c r="E45" s="3" t="s">
        <v>551</v>
      </c>
      <c r="F45" s="3" t="s">
        <v>26</v>
      </c>
      <c r="G45" s="60">
        <v>31188.627550000001</v>
      </c>
      <c r="H45" s="60"/>
      <c r="I45" s="60">
        <f>G45+H45</f>
        <v>31188.627550000001</v>
      </c>
      <c r="J45" s="98"/>
    </row>
    <row r="46" spans="1:11" ht="48" x14ac:dyDescent="0.2">
      <c r="A46" s="4" t="s">
        <v>375</v>
      </c>
      <c r="B46" s="3" t="s">
        <v>215</v>
      </c>
      <c r="C46" s="3" t="s">
        <v>79</v>
      </c>
      <c r="D46" s="3" t="s">
        <v>27</v>
      </c>
      <c r="E46" s="3" t="s">
        <v>446</v>
      </c>
      <c r="F46" s="3"/>
      <c r="G46" s="60">
        <f>G47</f>
        <v>4833.5703100000001</v>
      </c>
      <c r="H46" s="60">
        <f t="shared" ref="H46:I46" si="20">H47</f>
        <v>-4833.5703100000001</v>
      </c>
      <c r="I46" s="60">
        <f t="shared" si="20"/>
        <v>0</v>
      </c>
      <c r="J46" s="98"/>
    </row>
    <row r="47" spans="1:11" ht="36" x14ac:dyDescent="0.2">
      <c r="A47" s="4" t="s">
        <v>376</v>
      </c>
      <c r="B47" s="3" t="s">
        <v>215</v>
      </c>
      <c r="C47" s="3" t="s">
        <v>79</v>
      </c>
      <c r="D47" s="3" t="s">
        <v>27</v>
      </c>
      <c r="E47" s="3" t="s">
        <v>552</v>
      </c>
      <c r="F47" s="3"/>
      <c r="G47" s="60">
        <f t="shared" ref="G47:I50" si="21">G48</f>
        <v>4833.5703100000001</v>
      </c>
      <c r="H47" s="60">
        <f t="shared" si="21"/>
        <v>-4833.5703100000001</v>
      </c>
      <c r="I47" s="60">
        <f t="shared" si="21"/>
        <v>0</v>
      </c>
      <c r="J47" s="98"/>
    </row>
    <row r="48" spans="1:11" ht="36" x14ac:dyDescent="0.2">
      <c r="A48" s="4" t="s">
        <v>29</v>
      </c>
      <c r="B48" s="3" t="s">
        <v>215</v>
      </c>
      <c r="C48" s="3" t="s">
        <v>79</v>
      </c>
      <c r="D48" s="3" t="s">
        <v>27</v>
      </c>
      <c r="E48" s="3" t="s">
        <v>552</v>
      </c>
      <c r="F48" s="3" t="s">
        <v>26</v>
      </c>
      <c r="G48" s="60">
        <v>4833.5703100000001</v>
      </c>
      <c r="H48" s="60">
        <f>-2201.97031-2631.6</f>
        <v>-4833.5703100000001</v>
      </c>
      <c r="I48" s="60">
        <f>G48+H48</f>
        <v>0</v>
      </c>
      <c r="J48" s="98"/>
    </row>
    <row r="49" spans="1:10" ht="24" x14ac:dyDescent="0.2">
      <c r="A49" s="4" t="s">
        <v>657</v>
      </c>
      <c r="B49" s="3" t="s">
        <v>215</v>
      </c>
      <c r="C49" s="3" t="s">
        <v>79</v>
      </c>
      <c r="D49" s="3" t="s">
        <v>27</v>
      </c>
      <c r="E49" s="3" t="s">
        <v>658</v>
      </c>
      <c r="F49" s="3"/>
      <c r="G49" s="60">
        <f>G50</f>
        <v>0</v>
      </c>
      <c r="H49" s="60">
        <f t="shared" ref="H49:I49" si="22">H50</f>
        <v>4833.52052</v>
      </c>
      <c r="I49" s="60">
        <f t="shared" si="22"/>
        <v>4833.52052</v>
      </c>
      <c r="J49" s="98"/>
    </row>
    <row r="50" spans="1:10" ht="36" x14ac:dyDescent="0.2">
      <c r="A50" s="4" t="s">
        <v>376</v>
      </c>
      <c r="B50" s="3" t="s">
        <v>215</v>
      </c>
      <c r="C50" s="3" t="s">
        <v>79</v>
      </c>
      <c r="D50" s="3" t="s">
        <v>27</v>
      </c>
      <c r="E50" s="3" t="s">
        <v>626</v>
      </c>
      <c r="F50" s="3"/>
      <c r="G50" s="60">
        <f t="shared" si="21"/>
        <v>0</v>
      </c>
      <c r="H50" s="60">
        <f t="shared" si="21"/>
        <v>4833.52052</v>
      </c>
      <c r="I50" s="60">
        <f t="shared" si="21"/>
        <v>4833.52052</v>
      </c>
      <c r="J50" s="98"/>
    </row>
    <row r="51" spans="1:10" ht="36" x14ac:dyDescent="0.2">
      <c r="A51" s="4" t="s">
        <v>29</v>
      </c>
      <c r="B51" s="3" t="s">
        <v>215</v>
      </c>
      <c r="C51" s="3" t="s">
        <v>79</v>
      </c>
      <c r="D51" s="3" t="s">
        <v>27</v>
      </c>
      <c r="E51" s="3" t="s">
        <v>626</v>
      </c>
      <c r="F51" s="3" t="s">
        <v>26</v>
      </c>
      <c r="G51" s="60"/>
      <c r="H51" s="60">
        <f>4833.52052</f>
        <v>4833.52052</v>
      </c>
      <c r="I51" s="60">
        <f>G51+H51</f>
        <v>4833.52052</v>
      </c>
      <c r="J51" s="98"/>
    </row>
    <row r="52" spans="1:10" ht="12.75" x14ac:dyDescent="0.2">
      <c r="A52" s="4" t="s">
        <v>46</v>
      </c>
      <c r="B52" s="3" t="s">
        <v>215</v>
      </c>
      <c r="C52" s="3" t="s">
        <v>79</v>
      </c>
      <c r="D52" s="3" t="s">
        <v>27</v>
      </c>
      <c r="E52" s="3" t="s">
        <v>44</v>
      </c>
      <c r="F52" s="3"/>
      <c r="G52" s="60">
        <f>G53</f>
        <v>0</v>
      </c>
      <c r="H52" s="60">
        <f t="shared" ref="H52:I52" si="23">H53</f>
        <v>12.5</v>
      </c>
      <c r="I52" s="60">
        <f t="shared" si="23"/>
        <v>12.5</v>
      </c>
      <c r="J52" s="98"/>
    </row>
    <row r="53" spans="1:10" ht="36" x14ac:dyDescent="0.2">
      <c r="A53" s="4" t="s">
        <v>29</v>
      </c>
      <c r="B53" s="3" t="s">
        <v>215</v>
      </c>
      <c r="C53" s="3" t="s">
        <v>79</v>
      </c>
      <c r="D53" s="3" t="s">
        <v>27</v>
      </c>
      <c r="E53" s="3" t="s">
        <v>44</v>
      </c>
      <c r="F53" s="3" t="s">
        <v>26</v>
      </c>
      <c r="G53" s="60"/>
      <c r="H53" s="60">
        <v>12.5</v>
      </c>
      <c r="I53" s="60">
        <f>G53+H53</f>
        <v>12.5</v>
      </c>
      <c r="J53" s="98"/>
    </row>
    <row r="54" spans="1:10" ht="12.75" x14ac:dyDescent="0.2">
      <c r="A54" s="4" t="s">
        <v>242</v>
      </c>
      <c r="B54" s="3" t="s">
        <v>215</v>
      </c>
      <c r="C54" s="3" t="s">
        <v>79</v>
      </c>
      <c r="D54" s="3" t="s">
        <v>6</v>
      </c>
      <c r="E54" s="3"/>
      <c r="F54" s="3"/>
      <c r="G54" s="60">
        <f>G55</f>
        <v>23635.846370000003</v>
      </c>
      <c r="H54" s="60">
        <f t="shared" ref="H54:I54" si="24">H55</f>
        <v>-92.503160000000065</v>
      </c>
      <c r="I54" s="60">
        <f t="shared" si="24"/>
        <v>23543.343210000003</v>
      </c>
      <c r="J54" s="98"/>
    </row>
    <row r="55" spans="1:10" ht="60" x14ac:dyDescent="0.2">
      <c r="A55" s="4" t="s">
        <v>377</v>
      </c>
      <c r="B55" s="3" t="s">
        <v>215</v>
      </c>
      <c r="C55" s="3" t="s">
        <v>79</v>
      </c>
      <c r="D55" s="3" t="s">
        <v>6</v>
      </c>
      <c r="E55" s="3" t="s">
        <v>448</v>
      </c>
      <c r="F55" s="3"/>
      <c r="G55" s="60">
        <f t="shared" ref="G55:I55" si="25">G56</f>
        <v>23635.846370000003</v>
      </c>
      <c r="H55" s="60">
        <f>H56</f>
        <v>-92.503160000000065</v>
      </c>
      <c r="I55" s="60">
        <f t="shared" si="25"/>
        <v>23543.343210000003</v>
      </c>
      <c r="J55" s="98"/>
    </row>
    <row r="56" spans="1:10" ht="24" x14ac:dyDescent="0.2">
      <c r="A56" s="4" t="s">
        <v>85</v>
      </c>
      <c r="B56" s="3" t="s">
        <v>215</v>
      </c>
      <c r="C56" s="3" t="s">
        <v>79</v>
      </c>
      <c r="D56" s="3" t="s">
        <v>6</v>
      </c>
      <c r="E56" s="3" t="s">
        <v>449</v>
      </c>
      <c r="F56" s="3"/>
      <c r="G56" s="60">
        <f>G57+G59+G61</f>
        <v>23635.846370000003</v>
      </c>
      <c r="H56" s="60">
        <f>H57+H59+H61</f>
        <v>-92.503160000000065</v>
      </c>
      <c r="I56" s="60">
        <f t="shared" ref="I56" si="26">I57+I59+I61</f>
        <v>23543.343210000003</v>
      </c>
      <c r="J56" s="98"/>
    </row>
    <row r="57" spans="1:10" ht="24" x14ac:dyDescent="0.2">
      <c r="A57" s="4" t="s">
        <v>378</v>
      </c>
      <c r="B57" s="3" t="s">
        <v>215</v>
      </c>
      <c r="C57" s="3" t="s">
        <v>79</v>
      </c>
      <c r="D57" s="3" t="s">
        <v>6</v>
      </c>
      <c r="E57" s="3" t="s">
        <v>450</v>
      </c>
      <c r="F57" s="3"/>
      <c r="G57" s="60">
        <f t="shared" ref="G57:I57" si="27">G58</f>
        <v>14726.199000000001</v>
      </c>
      <c r="H57" s="60">
        <f t="shared" si="27"/>
        <v>138.17341999999988</v>
      </c>
      <c r="I57" s="60">
        <f t="shared" si="27"/>
        <v>14864.37242</v>
      </c>
      <c r="J57" s="98"/>
    </row>
    <row r="58" spans="1:10" ht="36" x14ac:dyDescent="0.2">
      <c r="A58" s="4" t="s">
        <v>29</v>
      </c>
      <c r="B58" s="3" t="s">
        <v>215</v>
      </c>
      <c r="C58" s="3" t="s">
        <v>79</v>
      </c>
      <c r="D58" s="3" t="s">
        <v>6</v>
      </c>
      <c r="E58" s="3" t="s">
        <v>450</v>
      </c>
      <c r="F58" s="3" t="s">
        <v>26</v>
      </c>
      <c r="G58" s="60">
        <v>14726.199000000001</v>
      </c>
      <c r="H58" s="60">
        <f>-1357.98+1481.6+14.55342</f>
        <v>138.17341999999988</v>
      </c>
      <c r="I58" s="60">
        <f>G58+H58</f>
        <v>14864.37242</v>
      </c>
      <c r="J58" s="98"/>
    </row>
    <row r="59" spans="1:10" ht="24" x14ac:dyDescent="0.2">
      <c r="A59" s="4" t="s">
        <v>379</v>
      </c>
      <c r="B59" s="3" t="s">
        <v>215</v>
      </c>
      <c r="C59" s="3" t="s">
        <v>79</v>
      </c>
      <c r="D59" s="3" t="s">
        <v>6</v>
      </c>
      <c r="E59" s="3" t="s">
        <v>527</v>
      </c>
      <c r="F59" s="3"/>
      <c r="G59" s="60">
        <f t="shared" ref="G59:I59" si="28">G60</f>
        <v>6278.3088500000003</v>
      </c>
      <c r="H59" s="60">
        <f t="shared" si="28"/>
        <v>-230.67657999999994</v>
      </c>
      <c r="I59" s="60">
        <f t="shared" si="28"/>
        <v>6047.6322700000001</v>
      </c>
      <c r="J59" s="98"/>
    </row>
    <row r="60" spans="1:10" ht="36" x14ac:dyDescent="0.2">
      <c r="A60" s="4" t="s">
        <v>29</v>
      </c>
      <c r="B60" s="3" t="s">
        <v>215</v>
      </c>
      <c r="C60" s="3" t="s">
        <v>79</v>
      </c>
      <c r="D60" s="3" t="s">
        <v>6</v>
      </c>
      <c r="E60" s="3" t="s">
        <v>527</v>
      </c>
      <c r="F60" s="3" t="s">
        <v>26</v>
      </c>
      <c r="G60" s="60">
        <v>6278.3088500000003</v>
      </c>
      <c r="H60" s="60">
        <f>-361.4+36.17+14.55342+80</f>
        <v>-230.67657999999994</v>
      </c>
      <c r="I60" s="60">
        <f>G60+H60</f>
        <v>6047.6322700000001</v>
      </c>
      <c r="J60" s="98"/>
    </row>
    <row r="61" spans="1:10" ht="24" x14ac:dyDescent="0.2">
      <c r="A61" s="4" t="s">
        <v>545</v>
      </c>
      <c r="B61" s="3" t="s">
        <v>215</v>
      </c>
      <c r="C61" s="3" t="s">
        <v>79</v>
      </c>
      <c r="D61" s="3" t="s">
        <v>6</v>
      </c>
      <c r="E61" s="3" t="s">
        <v>543</v>
      </c>
      <c r="F61" s="3"/>
      <c r="G61" s="263">
        <f t="shared" ref="G61:I61" si="29">G62</f>
        <v>2631.3385199999998</v>
      </c>
      <c r="H61" s="263">
        <f t="shared" si="29"/>
        <v>0</v>
      </c>
      <c r="I61" s="263">
        <f t="shared" si="29"/>
        <v>2631.3385199999998</v>
      </c>
      <c r="J61" s="98"/>
    </row>
    <row r="62" spans="1:10" ht="36" x14ac:dyDescent="0.2">
      <c r="A62" s="4" t="s">
        <v>29</v>
      </c>
      <c r="B62" s="3" t="s">
        <v>215</v>
      </c>
      <c r="C62" s="3" t="s">
        <v>79</v>
      </c>
      <c r="D62" s="3" t="s">
        <v>6</v>
      </c>
      <c r="E62" s="3" t="s">
        <v>543</v>
      </c>
      <c r="F62" s="3" t="s">
        <v>26</v>
      </c>
      <c r="G62" s="60">
        <v>2631.3385199999998</v>
      </c>
      <c r="H62" s="263"/>
      <c r="I62" s="60">
        <f>G62+H62</f>
        <v>2631.3385199999998</v>
      </c>
      <c r="J62" s="98"/>
    </row>
    <row r="63" spans="1:10" ht="12.75" x14ac:dyDescent="0.2">
      <c r="A63" s="4" t="s">
        <v>84</v>
      </c>
      <c r="B63" s="3" t="s">
        <v>215</v>
      </c>
      <c r="C63" s="3" t="s">
        <v>79</v>
      </c>
      <c r="D63" s="3" t="s">
        <v>79</v>
      </c>
      <c r="E63" s="3"/>
      <c r="F63" s="3"/>
      <c r="G63" s="60">
        <f>G64</f>
        <v>1431.5</v>
      </c>
      <c r="H63" s="60">
        <f t="shared" ref="H63:I63" si="30">H64</f>
        <v>0</v>
      </c>
      <c r="I63" s="60">
        <f t="shared" si="30"/>
        <v>1431.5</v>
      </c>
      <c r="J63" s="98"/>
    </row>
    <row r="64" spans="1:10" ht="60" x14ac:dyDescent="0.2">
      <c r="A64" s="4" t="s">
        <v>377</v>
      </c>
      <c r="B64" s="3" t="s">
        <v>215</v>
      </c>
      <c r="C64" s="3" t="s">
        <v>79</v>
      </c>
      <c r="D64" s="3" t="s">
        <v>79</v>
      </c>
      <c r="E64" s="3" t="s">
        <v>448</v>
      </c>
      <c r="F64" s="3"/>
      <c r="G64" s="240">
        <f>G65</f>
        <v>1431.5</v>
      </c>
      <c r="H64" s="240">
        <f t="shared" ref="H64:I65" si="31">H65</f>
        <v>0</v>
      </c>
      <c r="I64" s="240">
        <f t="shared" si="31"/>
        <v>1431.5</v>
      </c>
      <c r="J64" s="98"/>
    </row>
    <row r="65" spans="1:10" ht="24" x14ac:dyDescent="0.2">
      <c r="A65" s="4" t="s">
        <v>380</v>
      </c>
      <c r="B65" s="3" t="s">
        <v>215</v>
      </c>
      <c r="C65" s="3" t="s">
        <v>79</v>
      </c>
      <c r="D65" s="3" t="s">
        <v>79</v>
      </c>
      <c r="E65" s="3" t="s">
        <v>451</v>
      </c>
      <c r="F65" s="3"/>
      <c r="G65" s="240">
        <f>G66</f>
        <v>1431.5</v>
      </c>
      <c r="H65" s="240">
        <f t="shared" si="31"/>
        <v>0</v>
      </c>
      <c r="I65" s="240">
        <f t="shared" si="31"/>
        <v>1431.5</v>
      </c>
      <c r="J65" s="98"/>
    </row>
    <row r="66" spans="1:10" ht="48" x14ac:dyDescent="0.2">
      <c r="A66" s="4" t="s">
        <v>335</v>
      </c>
      <c r="B66" s="3" t="s">
        <v>215</v>
      </c>
      <c r="C66" s="3" t="s">
        <v>79</v>
      </c>
      <c r="D66" s="3" t="s">
        <v>79</v>
      </c>
      <c r="E66" s="3" t="s">
        <v>452</v>
      </c>
      <c r="F66" s="3"/>
      <c r="G66" s="240">
        <f>G68+G67</f>
        <v>1431.5</v>
      </c>
      <c r="H66" s="240">
        <f t="shared" ref="H66:I66" si="32">H68+H67</f>
        <v>0</v>
      </c>
      <c r="I66" s="240">
        <f t="shared" si="32"/>
        <v>1431.5</v>
      </c>
      <c r="J66" s="98"/>
    </row>
    <row r="67" spans="1:10" ht="24" x14ac:dyDescent="0.2">
      <c r="A67" s="7" t="s">
        <v>45</v>
      </c>
      <c r="B67" s="3" t="s">
        <v>215</v>
      </c>
      <c r="C67" s="3" t="s">
        <v>79</v>
      </c>
      <c r="D67" s="3" t="s">
        <v>79</v>
      </c>
      <c r="E67" s="3" t="s">
        <v>452</v>
      </c>
      <c r="F67" s="3" t="s">
        <v>43</v>
      </c>
      <c r="G67" s="60">
        <v>278</v>
      </c>
      <c r="H67" s="240"/>
      <c r="I67" s="60">
        <f>G67+H67</f>
        <v>278</v>
      </c>
      <c r="J67" s="98"/>
    </row>
    <row r="68" spans="1:10" ht="36" x14ac:dyDescent="0.2">
      <c r="A68" s="4" t="s">
        <v>29</v>
      </c>
      <c r="B68" s="3" t="s">
        <v>215</v>
      </c>
      <c r="C68" s="3" t="s">
        <v>79</v>
      </c>
      <c r="D68" s="3" t="s">
        <v>79</v>
      </c>
      <c r="E68" s="3" t="s">
        <v>452</v>
      </c>
      <c r="F68" s="3" t="s">
        <v>26</v>
      </c>
      <c r="G68" s="60">
        <v>1153.5</v>
      </c>
      <c r="H68" s="240"/>
      <c r="I68" s="60">
        <f>G68+H68</f>
        <v>1153.5</v>
      </c>
      <c r="J68" s="98"/>
    </row>
    <row r="69" spans="1:10" ht="12.75" x14ac:dyDescent="0.2">
      <c r="A69" s="4" t="s">
        <v>83</v>
      </c>
      <c r="B69" s="3" t="s">
        <v>215</v>
      </c>
      <c r="C69" s="3" t="s">
        <v>79</v>
      </c>
      <c r="D69" s="3" t="s">
        <v>67</v>
      </c>
      <c r="E69" s="3"/>
      <c r="F69" s="3"/>
      <c r="G69" s="60">
        <f>G70+G76+G85</f>
        <v>15703.760000000002</v>
      </c>
      <c r="H69" s="60">
        <f t="shared" ref="H69:I69" si="33">H70+H76+H85</f>
        <v>406.71152999999998</v>
      </c>
      <c r="I69" s="60">
        <f t="shared" si="33"/>
        <v>16110.471529999999</v>
      </c>
      <c r="J69" s="98"/>
    </row>
    <row r="70" spans="1:10" ht="84" x14ac:dyDescent="0.2">
      <c r="A70" s="4" t="s">
        <v>381</v>
      </c>
      <c r="B70" s="3" t="s">
        <v>215</v>
      </c>
      <c r="C70" s="3" t="s">
        <v>79</v>
      </c>
      <c r="D70" s="3" t="s">
        <v>67</v>
      </c>
      <c r="E70" s="3" t="s">
        <v>453</v>
      </c>
      <c r="F70" s="3"/>
      <c r="G70" s="60">
        <f>G71+G74</f>
        <v>1142.2</v>
      </c>
      <c r="H70" s="60">
        <f>H71+H74</f>
        <v>313.74801000000002</v>
      </c>
      <c r="I70" s="60">
        <f t="shared" ref="I70" si="34">I71+I74</f>
        <v>1455.9480100000001</v>
      </c>
      <c r="J70" s="98"/>
    </row>
    <row r="71" spans="1:10" ht="48" x14ac:dyDescent="0.2">
      <c r="A71" s="4" t="s">
        <v>252</v>
      </c>
      <c r="B71" s="3" t="s">
        <v>215</v>
      </c>
      <c r="C71" s="3" t="s">
        <v>79</v>
      </c>
      <c r="D71" s="3" t="s">
        <v>67</v>
      </c>
      <c r="E71" s="3" t="s">
        <v>454</v>
      </c>
      <c r="F71" s="3"/>
      <c r="G71" s="60">
        <f t="shared" ref="G71:I74" si="35">G72</f>
        <v>1107.46</v>
      </c>
      <c r="H71" s="60">
        <f t="shared" si="35"/>
        <v>348.48801000000003</v>
      </c>
      <c r="I71" s="60">
        <f t="shared" si="35"/>
        <v>1455.9480100000001</v>
      </c>
      <c r="J71" s="98"/>
    </row>
    <row r="72" spans="1:10" ht="24" x14ac:dyDescent="0.2">
      <c r="A72" s="4" t="s">
        <v>82</v>
      </c>
      <c r="B72" s="3" t="s">
        <v>215</v>
      </c>
      <c r="C72" s="3" t="s">
        <v>79</v>
      </c>
      <c r="D72" s="3" t="s">
        <v>67</v>
      </c>
      <c r="E72" s="3" t="s">
        <v>455</v>
      </c>
      <c r="F72" s="3"/>
      <c r="G72" s="60">
        <f t="shared" si="35"/>
        <v>1107.46</v>
      </c>
      <c r="H72" s="60">
        <f t="shared" si="35"/>
        <v>348.48801000000003</v>
      </c>
      <c r="I72" s="60">
        <f t="shared" si="35"/>
        <v>1455.9480100000001</v>
      </c>
      <c r="J72" s="98"/>
    </row>
    <row r="73" spans="1:10" ht="60" x14ac:dyDescent="0.2">
      <c r="A73" s="4" t="s">
        <v>38</v>
      </c>
      <c r="B73" s="3" t="s">
        <v>215</v>
      </c>
      <c r="C73" s="3" t="s">
        <v>79</v>
      </c>
      <c r="D73" s="3" t="s">
        <v>67</v>
      </c>
      <c r="E73" s="3" t="s">
        <v>455</v>
      </c>
      <c r="F73" s="3" t="s">
        <v>34</v>
      </c>
      <c r="G73" s="60">
        <f>820.584+286.876</f>
        <v>1107.46</v>
      </c>
      <c r="H73" s="60">
        <f>297.65564+50.83237</f>
        <v>348.48801000000003</v>
      </c>
      <c r="I73" s="60">
        <f>G73+H73</f>
        <v>1455.9480100000001</v>
      </c>
      <c r="J73" s="98"/>
    </row>
    <row r="74" spans="1:10" ht="24" x14ac:dyDescent="0.2">
      <c r="A74" s="4" t="s">
        <v>545</v>
      </c>
      <c r="B74" s="3" t="s">
        <v>215</v>
      </c>
      <c r="C74" s="3" t="s">
        <v>79</v>
      </c>
      <c r="D74" s="3" t="s">
        <v>67</v>
      </c>
      <c r="E74" s="3" t="s">
        <v>554</v>
      </c>
      <c r="F74" s="3"/>
      <c r="G74" s="60">
        <f>G75</f>
        <v>34.739999999999995</v>
      </c>
      <c r="H74" s="60">
        <f t="shared" si="35"/>
        <v>-34.739999999999995</v>
      </c>
      <c r="I74" s="60">
        <f t="shared" si="35"/>
        <v>0</v>
      </c>
      <c r="J74" s="98"/>
    </row>
    <row r="75" spans="1:10" ht="60" x14ac:dyDescent="0.2">
      <c r="A75" s="4" t="s">
        <v>38</v>
      </c>
      <c r="B75" s="3" t="s">
        <v>215</v>
      </c>
      <c r="C75" s="3" t="s">
        <v>79</v>
      </c>
      <c r="D75" s="3" t="s">
        <v>67</v>
      </c>
      <c r="E75" s="3" t="s">
        <v>554</v>
      </c>
      <c r="F75" s="3" t="s">
        <v>34</v>
      </c>
      <c r="G75" s="60">
        <f>26.682+8.058</f>
        <v>34.739999999999995</v>
      </c>
      <c r="H75" s="60">
        <f>-26.682-8.058</f>
        <v>-34.739999999999995</v>
      </c>
      <c r="I75" s="60">
        <f>G75+H75</f>
        <v>0</v>
      </c>
      <c r="J75" s="98"/>
    </row>
    <row r="76" spans="1:10" ht="84" x14ac:dyDescent="0.2">
      <c r="A76" s="4" t="s">
        <v>382</v>
      </c>
      <c r="B76" s="3" t="s">
        <v>215</v>
      </c>
      <c r="C76" s="3" t="s">
        <v>79</v>
      </c>
      <c r="D76" s="3" t="s">
        <v>67</v>
      </c>
      <c r="E76" s="3" t="s">
        <v>456</v>
      </c>
      <c r="F76" s="3"/>
      <c r="G76" s="60">
        <f>G77+G83</f>
        <v>4160.3410000000003</v>
      </c>
      <c r="H76" s="60">
        <f>H77+H83</f>
        <v>78.907809999999998</v>
      </c>
      <c r="I76" s="60">
        <f t="shared" ref="I76" si="36">I77+I83</f>
        <v>4239.24881</v>
      </c>
      <c r="J76" s="98"/>
    </row>
    <row r="77" spans="1:10" ht="48" x14ac:dyDescent="0.2">
      <c r="A77" s="4" t="s">
        <v>253</v>
      </c>
      <c r="B77" s="3" t="s">
        <v>215</v>
      </c>
      <c r="C77" s="3" t="s">
        <v>79</v>
      </c>
      <c r="D77" s="3" t="s">
        <v>67</v>
      </c>
      <c r="E77" s="3" t="s">
        <v>457</v>
      </c>
      <c r="F77" s="3"/>
      <c r="G77" s="60">
        <f>G78+G80</f>
        <v>3790.373</v>
      </c>
      <c r="H77" s="60">
        <f t="shared" ref="H77:I77" si="37">H78+H80</f>
        <v>190.00695999999999</v>
      </c>
      <c r="I77" s="60">
        <f t="shared" si="37"/>
        <v>3980.3799600000002</v>
      </c>
      <c r="J77" s="98"/>
    </row>
    <row r="78" spans="1:10" ht="24" x14ac:dyDescent="0.2">
      <c r="A78" s="4" t="s">
        <v>82</v>
      </c>
      <c r="B78" s="3" t="s">
        <v>215</v>
      </c>
      <c r="C78" s="3" t="s">
        <v>79</v>
      </c>
      <c r="D78" s="3" t="s">
        <v>67</v>
      </c>
      <c r="E78" s="3" t="s">
        <v>458</v>
      </c>
      <c r="F78" s="3"/>
      <c r="G78" s="60">
        <f t="shared" ref="G78:I78" si="38">G79</f>
        <v>1839.7329999999999</v>
      </c>
      <c r="H78" s="60">
        <f t="shared" si="38"/>
        <v>119.98121</v>
      </c>
      <c r="I78" s="60">
        <f t="shared" si="38"/>
        <v>1959.7142099999999</v>
      </c>
      <c r="J78" s="98"/>
    </row>
    <row r="79" spans="1:10" ht="60" x14ac:dyDescent="0.2">
      <c r="A79" s="4" t="s">
        <v>38</v>
      </c>
      <c r="B79" s="3" t="s">
        <v>215</v>
      </c>
      <c r="C79" s="3" t="s">
        <v>79</v>
      </c>
      <c r="D79" s="3" t="s">
        <v>67</v>
      </c>
      <c r="E79" s="3" t="s">
        <v>458</v>
      </c>
      <c r="F79" s="3" t="s">
        <v>34</v>
      </c>
      <c r="G79" s="60">
        <v>1839.7329999999999</v>
      </c>
      <c r="H79" s="60">
        <f>4.9+88.3884+26.69281</f>
        <v>119.98121</v>
      </c>
      <c r="I79" s="60">
        <f>G79+H79</f>
        <v>1959.7142099999999</v>
      </c>
      <c r="J79" s="98"/>
    </row>
    <row r="80" spans="1:10" ht="24" x14ac:dyDescent="0.2">
      <c r="A80" s="4" t="s">
        <v>81</v>
      </c>
      <c r="B80" s="3" t="s">
        <v>215</v>
      </c>
      <c r="C80" s="3" t="s">
        <v>79</v>
      </c>
      <c r="D80" s="3" t="s">
        <v>67</v>
      </c>
      <c r="E80" s="3" t="s">
        <v>459</v>
      </c>
      <c r="F80" s="3"/>
      <c r="G80" s="60">
        <f>G81+G82</f>
        <v>1950.64</v>
      </c>
      <c r="H80" s="60">
        <f>H81+H82</f>
        <v>70.025750000000002</v>
      </c>
      <c r="I80" s="60">
        <f t="shared" ref="I80" si="39">I81+I82</f>
        <v>2020.6657500000001</v>
      </c>
      <c r="J80" s="98"/>
    </row>
    <row r="81" spans="1:10" ht="24" x14ac:dyDescent="0.2">
      <c r="A81" s="4" t="s">
        <v>47</v>
      </c>
      <c r="B81" s="3" t="s">
        <v>215</v>
      </c>
      <c r="C81" s="3" t="s">
        <v>79</v>
      </c>
      <c r="D81" s="3" t="s">
        <v>67</v>
      </c>
      <c r="E81" s="3" t="s">
        <v>459</v>
      </c>
      <c r="F81" s="3" t="s">
        <v>51</v>
      </c>
      <c r="G81" s="60">
        <v>1937.4870000000001</v>
      </c>
      <c r="H81" s="60">
        <f>-8.4+34.58+40.57+3.27575</f>
        <v>70.025750000000002</v>
      </c>
      <c r="I81" s="60">
        <f>G81+H81</f>
        <v>2007.5127500000001</v>
      </c>
      <c r="J81" s="98"/>
    </row>
    <row r="82" spans="1:10" ht="24" x14ac:dyDescent="0.2">
      <c r="A82" s="4" t="s">
        <v>73</v>
      </c>
      <c r="B82" s="3" t="s">
        <v>215</v>
      </c>
      <c r="C82" s="3" t="s">
        <v>79</v>
      </c>
      <c r="D82" s="3" t="s">
        <v>67</v>
      </c>
      <c r="E82" s="3" t="s">
        <v>459</v>
      </c>
      <c r="F82" s="3" t="s">
        <v>80</v>
      </c>
      <c r="G82" s="60">
        <v>13.153</v>
      </c>
      <c r="H82" s="60"/>
      <c r="I82" s="60">
        <f>G82+H82</f>
        <v>13.153</v>
      </c>
      <c r="J82" s="98"/>
    </row>
    <row r="83" spans="1:10" ht="24" x14ac:dyDescent="0.2">
      <c r="A83" s="4" t="s">
        <v>545</v>
      </c>
      <c r="B83" s="3" t="s">
        <v>215</v>
      </c>
      <c r="C83" s="3" t="s">
        <v>79</v>
      </c>
      <c r="D83" s="3" t="s">
        <v>67</v>
      </c>
      <c r="E83" s="3" t="s">
        <v>555</v>
      </c>
      <c r="F83" s="3"/>
      <c r="G83" s="60">
        <f t="shared" ref="G83:I83" si="40">G84</f>
        <v>369.96800000000002</v>
      </c>
      <c r="H83" s="60">
        <f t="shared" si="40"/>
        <v>-111.09914999999999</v>
      </c>
      <c r="I83" s="60">
        <f t="shared" si="40"/>
        <v>258.86885000000001</v>
      </c>
      <c r="J83" s="98"/>
    </row>
    <row r="84" spans="1:10" ht="60" x14ac:dyDescent="0.2">
      <c r="A84" s="4" t="s">
        <v>38</v>
      </c>
      <c r="B84" s="3" t="s">
        <v>215</v>
      </c>
      <c r="C84" s="3" t="s">
        <v>79</v>
      </c>
      <c r="D84" s="3" t="s">
        <v>67</v>
      </c>
      <c r="E84" s="3" t="s">
        <v>555</v>
      </c>
      <c r="F84" s="3" t="s">
        <v>34</v>
      </c>
      <c r="G84" s="60">
        <v>369.96800000000002</v>
      </c>
      <c r="H84" s="60">
        <f>-85.33-25.76915</f>
        <v>-111.09914999999999</v>
      </c>
      <c r="I84" s="60">
        <f>G84+H84</f>
        <v>258.86885000000001</v>
      </c>
      <c r="J84" s="98"/>
    </row>
    <row r="85" spans="1:10" ht="84" x14ac:dyDescent="0.2">
      <c r="A85" s="4" t="s">
        <v>383</v>
      </c>
      <c r="B85" s="3" t="s">
        <v>215</v>
      </c>
      <c r="C85" s="3" t="s">
        <v>79</v>
      </c>
      <c r="D85" s="3" t="s">
        <v>67</v>
      </c>
      <c r="E85" s="3" t="s">
        <v>460</v>
      </c>
      <c r="F85" s="3"/>
      <c r="G85" s="60">
        <f>G86+G91+G93</f>
        <v>10401.219000000001</v>
      </c>
      <c r="H85" s="60">
        <f t="shared" ref="H85:I85" si="41">H86+H91+H93</f>
        <v>14.055709999999999</v>
      </c>
      <c r="I85" s="60">
        <f t="shared" si="41"/>
        <v>10415.27471</v>
      </c>
      <c r="J85" s="98"/>
    </row>
    <row r="86" spans="1:10" ht="36" x14ac:dyDescent="0.2">
      <c r="A86" s="73" t="s">
        <v>333</v>
      </c>
      <c r="B86" s="3" t="s">
        <v>215</v>
      </c>
      <c r="C86" s="3" t="s">
        <v>79</v>
      </c>
      <c r="D86" s="3" t="s">
        <v>67</v>
      </c>
      <c r="E86" s="3" t="s">
        <v>461</v>
      </c>
      <c r="F86" s="3"/>
      <c r="G86" s="60">
        <f t="shared" ref="G86:I86" si="42">G87+G89</f>
        <v>3487.9670000000001</v>
      </c>
      <c r="H86" s="60">
        <f t="shared" si="42"/>
        <v>14.055709999999999</v>
      </c>
      <c r="I86" s="60">
        <f t="shared" si="42"/>
        <v>3502.0227100000002</v>
      </c>
      <c r="J86" s="98"/>
    </row>
    <row r="87" spans="1:10" ht="24" x14ac:dyDescent="0.2">
      <c r="A87" s="4" t="s">
        <v>384</v>
      </c>
      <c r="B87" s="3" t="s">
        <v>215</v>
      </c>
      <c r="C87" s="3" t="s">
        <v>79</v>
      </c>
      <c r="D87" s="3" t="s">
        <v>67</v>
      </c>
      <c r="E87" s="3" t="s">
        <v>462</v>
      </c>
      <c r="F87" s="3"/>
      <c r="G87" s="60">
        <f t="shared" ref="G87:I87" si="43">G88</f>
        <v>3127.9670000000001</v>
      </c>
      <c r="H87" s="60">
        <f t="shared" si="43"/>
        <v>3.5</v>
      </c>
      <c r="I87" s="60">
        <f t="shared" si="43"/>
        <v>3131.4670000000001</v>
      </c>
      <c r="J87" s="98"/>
    </row>
    <row r="88" spans="1:10" ht="60" x14ac:dyDescent="0.2">
      <c r="A88" s="4" t="s">
        <v>38</v>
      </c>
      <c r="B88" s="3" t="s">
        <v>215</v>
      </c>
      <c r="C88" s="3" t="s">
        <v>79</v>
      </c>
      <c r="D88" s="3" t="s">
        <v>67</v>
      </c>
      <c r="E88" s="3" t="s">
        <v>462</v>
      </c>
      <c r="F88" s="3" t="s">
        <v>34</v>
      </c>
      <c r="G88" s="60">
        <v>3127.9670000000001</v>
      </c>
      <c r="H88" s="60">
        <f>3.5</f>
        <v>3.5</v>
      </c>
      <c r="I88" s="60">
        <f>G88+H88</f>
        <v>3131.4670000000001</v>
      </c>
      <c r="J88" s="98"/>
    </row>
    <row r="89" spans="1:10" ht="24" x14ac:dyDescent="0.2">
      <c r="A89" s="4" t="s">
        <v>328</v>
      </c>
      <c r="B89" s="3" t="s">
        <v>215</v>
      </c>
      <c r="C89" s="3" t="s">
        <v>79</v>
      </c>
      <c r="D89" s="3" t="s">
        <v>67</v>
      </c>
      <c r="E89" s="3" t="s">
        <v>463</v>
      </c>
      <c r="F89" s="3"/>
      <c r="G89" s="60">
        <f t="shared" ref="G89:I89" si="44">G90</f>
        <v>360</v>
      </c>
      <c r="H89" s="60">
        <f t="shared" si="44"/>
        <v>10.555709999999999</v>
      </c>
      <c r="I89" s="60">
        <f t="shared" si="44"/>
        <v>370.55570999999998</v>
      </c>
      <c r="J89" s="98"/>
    </row>
    <row r="90" spans="1:10" ht="24" x14ac:dyDescent="0.2">
      <c r="A90" s="4" t="s">
        <v>47</v>
      </c>
      <c r="B90" s="3" t="s">
        <v>215</v>
      </c>
      <c r="C90" s="3" t="s">
        <v>79</v>
      </c>
      <c r="D90" s="3" t="s">
        <v>67</v>
      </c>
      <c r="E90" s="3" t="s">
        <v>463</v>
      </c>
      <c r="F90" s="3" t="s">
        <v>51</v>
      </c>
      <c r="G90" s="60">
        <v>360</v>
      </c>
      <c r="H90" s="60">
        <v>10.555709999999999</v>
      </c>
      <c r="I90" s="60">
        <f>G90+H90</f>
        <v>370.55570999999998</v>
      </c>
      <c r="J90" s="98"/>
    </row>
    <row r="91" spans="1:10" ht="156" x14ac:dyDescent="0.2">
      <c r="A91" s="4" t="s">
        <v>344</v>
      </c>
      <c r="B91" s="3" t="s">
        <v>215</v>
      </c>
      <c r="C91" s="3" t="s">
        <v>79</v>
      </c>
      <c r="D91" s="3" t="s">
        <v>67</v>
      </c>
      <c r="E91" s="3" t="s">
        <v>464</v>
      </c>
      <c r="F91" s="3"/>
      <c r="G91" s="60">
        <f t="shared" ref="G91:I91" si="45">G92</f>
        <v>5827.1</v>
      </c>
      <c r="H91" s="60">
        <f t="shared" si="45"/>
        <v>0</v>
      </c>
      <c r="I91" s="60">
        <f t="shared" si="45"/>
        <v>5827.1</v>
      </c>
      <c r="J91" s="98"/>
    </row>
    <row r="92" spans="1:10" ht="60" x14ac:dyDescent="0.2">
      <c r="A92" s="4" t="s">
        <v>38</v>
      </c>
      <c r="B92" s="3" t="s">
        <v>215</v>
      </c>
      <c r="C92" s="3" t="s">
        <v>79</v>
      </c>
      <c r="D92" s="3" t="s">
        <v>67</v>
      </c>
      <c r="E92" s="3" t="s">
        <v>464</v>
      </c>
      <c r="F92" s="3" t="s">
        <v>34</v>
      </c>
      <c r="G92" s="60">
        <f>4475.499+1351.601</f>
        <v>5827.1</v>
      </c>
      <c r="H92" s="60"/>
      <c r="I92" s="60">
        <f>G92+H92</f>
        <v>5827.1</v>
      </c>
      <c r="J92" s="98"/>
    </row>
    <row r="93" spans="1:10" ht="24" x14ac:dyDescent="0.2">
      <c r="A93" s="4" t="s">
        <v>545</v>
      </c>
      <c r="B93" s="3" t="s">
        <v>215</v>
      </c>
      <c r="C93" s="3" t="s">
        <v>79</v>
      </c>
      <c r="D93" s="3" t="s">
        <v>67</v>
      </c>
      <c r="E93" s="3" t="s">
        <v>553</v>
      </c>
      <c r="F93" s="3"/>
      <c r="G93" s="263">
        <f t="shared" ref="G93:I93" si="46">G94</f>
        <v>1086.152</v>
      </c>
      <c r="H93" s="263">
        <f t="shared" si="46"/>
        <v>0</v>
      </c>
      <c r="I93" s="263">
        <f t="shared" si="46"/>
        <v>1086.152</v>
      </c>
      <c r="J93" s="98"/>
    </row>
    <row r="94" spans="1:10" ht="60" x14ac:dyDescent="0.2">
      <c r="A94" s="4" t="s">
        <v>38</v>
      </c>
      <c r="B94" s="3" t="s">
        <v>215</v>
      </c>
      <c r="C94" s="3" t="s">
        <v>79</v>
      </c>
      <c r="D94" s="3" t="s">
        <v>67</v>
      </c>
      <c r="E94" s="3" t="s">
        <v>553</v>
      </c>
      <c r="F94" s="3" t="s">
        <v>34</v>
      </c>
      <c r="G94" s="60">
        <v>1086.152</v>
      </c>
      <c r="H94" s="60"/>
      <c r="I94" s="60">
        <f>G94+H94</f>
        <v>1086.152</v>
      </c>
      <c r="J94" s="98"/>
    </row>
    <row r="95" spans="1:10" ht="12.75" x14ac:dyDescent="0.2">
      <c r="A95" s="4" t="s">
        <v>66</v>
      </c>
      <c r="B95" s="3" t="s">
        <v>215</v>
      </c>
      <c r="C95" s="3" t="s">
        <v>54</v>
      </c>
      <c r="D95" s="3"/>
      <c r="E95" s="3"/>
      <c r="F95" s="3"/>
      <c r="G95" s="60">
        <f t="shared" ref="G95:I96" si="47">G96</f>
        <v>5054.8999999999996</v>
      </c>
      <c r="H95" s="60">
        <f t="shared" si="47"/>
        <v>0</v>
      </c>
      <c r="I95" s="60">
        <f t="shared" si="47"/>
        <v>5054.8999999999996</v>
      </c>
      <c r="J95" s="98"/>
    </row>
    <row r="96" spans="1:10" ht="12.75" x14ac:dyDescent="0.2">
      <c r="A96" s="4" t="s">
        <v>61</v>
      </c>
      <c r="B96" s="3" t="s">
        <v>215</v>
      </c>
      <c r="C96" s="3" t="s">
        <v>54</v>
      </c>
      <c r="D96" s="3" t="s">
        <v>59</v>
      </c>
      <c r="E96" s="3"/>
      <c r="F96" s="3"/>
      <c r="G96" s="60">
        <f>G97</f>
        <v>5054.8999999999996</v>
      </c>
      <c r="H96" s="60">
        <f t="shared" si="47"/>
        <v>0</v>
      </c>
      <c r="I96" s="60">
        <f t="shared" si="47"/>
        <v>5054.8999999999996</v>
      </c>
      <c r="J96" s="98"/>
    </row>
    <row r="97" spans="1:10" ht="48" x14ac:dyDescent="0.2">
      <c r="A97" s="4" t="s">
        <v>371</v>
      </c>
      <c r="B97" s="3" t="s">
        <v>215</v>
      </c>
      <c r="C97" s="3" t="s">
        <v>54</v>
      </c>
      <c r="D97" s="3" t="s">
        <v>59</v>
      </c>
      <c r="E97" s="3" t="s">
        <v>439</v>
      </c>
      <c r="F97" s="3"/>
      <c r="G97" s="60">
        <f t="shared" ref="G97:I98" si="48">G98</f>
        <v>5054.8999999999996</v>
      </c>
      <c r="H97" s="60">
        <f t="shared" si="48"/>
        <v>0</v>
      </c>
      <c r="I97" s="60">
        <f t="shared" si="48"/>
        <v>5054.8999999999996</v>
      </c>
      <c r="J97" s="98"/>
    </row>
    <row r="98" spans="1:10" ht="60" x14ac:dyDescent="0.2">
      <c r="A98" s="4" t="s">
        <v>372</v>
      </c>
      <c r="B98" s="3" t="s">
        <v>215</v>
      </c>
      <c r="C98" s="3" t="s">
        <v>54</v>
      </c>
      <c r="D98" s="3" t="s">
        <v>59</v>
      </c>
      <c r="E98" s="3" t="s">
        <v>438</v>
      </c>
      <c r="F98" s="3"/>
      <c r="G98" s="60">
        <f t="shared" si="48"/>
        <v>5054.8999999999996</v>
      </c>
      <c r="H98" s="60">
        <f t="shared" si="48"/>
        <v>0</v>
      </c>
      <c r="I98" s="60">
        <f t="shared" si="48"/>
        <v>5054.8999999999996</v>
      </c>
      <c r="J98" s="98"/>
    </row>
    <row r="99" spans="1:10" ht="60" x14ac:dyDescent="0.2">
      <c r="A99" s="4" t="s">
        <v>336</v>
      </c>
      <c r="B99" s="3" t="s">
        <v>215</v>
      </c>
      <c r="C99" s="3" t="s">
        <v>54</v>
      </c>
      <c r="D99" s="3" t="s">
        <v>59</v>
      </c>
      <c r="E99" s="3" t="s">
        <v>465</v>
      </c>
      <c r="F99" s="3"/>
      <c r="G99" s="60">
        <f>G101+G100</f>
        <v>5054.8999999999996</v>
      </c>
      <c r="H99" s="60">
        <f t="shared" ref="H99:I99" si="49">H101+H100</f>
        <v>0</v>
      </c>
      <c r="I99" s="60">
        <f t="shared" si="49"/>
        <v>5054.8999999999996</v>
      </c>
      <c r="J99" s="98"/>
    </row>
    <row r="100" spans="1:10" ht="24" x14ac:dyDescent="0.2">
      <c r="A100" s="4" t="s">
        <v>47</v>
      </c>
      <c r="B100" s="3" t="s">
        <v>215</v>
      </c>
      <c r="C100" s="3" t="s">
        <v>54</v>
      </c>
      <c r="D100" s="3" t="s">
        <v>59</v>
      </c>
      <c r="E100" s="3" t="s">
        <v>465</v>
      </c>
      <c r="F100" s="3" t="s">
        <v>51</v>
      </c>
      <c r="G100" s="60">
        <f>15.21</f>
        <v>15.21</v>
      </c>
      <c r="H100" s="60"/>
      <c r="I100" s="60">
        <f>G100+H100</f>
        <v>15.21</v>
      </c>
      <c r="J100" s="98"/>
    </row>
    <row r="101" spans="1:10" ht="24" x14ac:dyDescent="0.2">
      <c r="A101" s="4" t="s">
        <v>45</v>
      </c>
      <c r="B101" s="3" t="s">
        <v>215</v>
      </c>
      <c r="C101" s="3" t="s">
        <v>54</v>
      </c>
      <c r="D101" s="3" t="s">
        <v>59</v>
      </c>
      <c r="E101" s="3" t="s">
        <v>465</v>
      </c>
      <c r="F101" s="3" t="s">
        <v>43</v>
      </c>
      <c r="G101" s="60">
        <v>5039.6899999999996</v>
      </c>
      <c r="H101" s="60"/>
      <c r="I101" s="60">
        <f>G101+H101</f>
        <v>5039.6899999999996</v>
      </c>
      <c r="J101" s="98"/>
    </row>
    <row r="102" spans="1:10" ht="36" x14ac:dyDescent="0.2">
      <c r="A102" s="54" t="s">
        <v>245</v>
      </c>
      <c r="B102" s="5" t="s">
        <v>213</v>
      </c>
      <c r="C102" s="5"/>
      <c r="D102" s="5"/>
      <c r="E102" s="5"/>
      <c r="F102" s="3"/>
      <c r="G102" s="59">
        <f>G103+G124+G130</f>
        <v>52134.873430000007</v>
      </c>
      <c r="H102" s="59">
        <f>H103+H124+H130</f>
        <v>-4208.0761199999997</v>
      </c>
      <c r="I102" s="59">
        <f>I103+I124+I130</f>
        <v>47926.797310000002</v>
      </c>
      <c r="J102" s="98"/>
    </row>
    <row r="103" spans="1:10" ht="12.75" x14ac:dyDescent="0.2">
      <c r="A103" s="4" t="s">
        <v>214</v>
      </c>
      <c r="B103" s="3" t="s">
        <v>213</v>
      </c>
      <c r="C103" s="3" t="s">
        <v>15</v>
      </c>
      <c r="D103" s="3"/>
      <c r="E103" s="3"/>
      <c r="F103" s="3"/>
      <c r="G103" s="60">
        <f>G104+G118</f>
        <v>12591.433000000001</v>
      </c>
      <c r="H103" s="60">
        <f t="shared" ref="H103:I103" si="50">H104+H118</f>
        <v>-6480.4151199999997</v>
      </c>
      <c r="I103" s="60">
        <f t="shared" si="50"/>
        <v>6111.0178799999994</v>
      </c>
      <c r="J103" s="98"/>
    </row>
    <row r="104" spans="1:10" ht="36" x14ac:dyDescent="0.2">
      <c r="A104" s="4" t="s">
        <v>140</v>
      </c>
      <c r="B104" s="3" t="s">
        <v>213</v>
      </c>
      <c r="C104" s="3" t="s">
        <v>15</v>
      </c>
      <c r="D104" s="3" t="s">
        <v>53</v>
      </c>
      <c r="E104" s="3"/>
      <c r="F104" s="2"/>
      <c r="G104" s="60">
        <f>G105+G114</f>
        <v>3994.433</v>
      </c>
      <c r="H104" s="60">
        <f t="shared" ref="H104" si="51">H105+H114</f>
        <v>775.50287999999989</v>
      </c>
      <c r="I104" s="60">
        <f>I105+I114</f>
        <v>4769.93588</v>
      </c>
      <c r="J104" s="98"/>
    </row>
    <row r="105" spans="1:10" ht="60" x14ac:dyDescent="0.2">
      <c r="A105" s="4" t="s">
        <v>385</v>
      </c>
      <c r="B105" s="3" t="s">
        <v>213</v>
      </c>
      <c r="C105" s="3" t="s">
        <v>15</v>
      </c>
      <c r="D105" s="3" t="s">
        <v>53</v>
      </c>
      <c r="E105" s="3" t="s">
        <v>386</v>
      </c>
      <c r="F105" s="3"/>
      <c r="G105" s="60">
        <f>G106+G112</f>
        <v>3394.3330000000001</v>
      </c>
      <c r="H105" s="60">
        <f t="shared" ref="H105:I105" si="52">H106+H112</f>
        <v>1375.6028799999999</v>
      </c>
      <c r="I105" s="60">
        <f t="shared" si="52"/>
        <v>4769.93588</v>
      </c>
      <c r="J105" s="98"/>
    </row>
    <row r="106" spans="1:10" ht="36" x14ac:dyDescent="0.2">
      <c r="A106" s="4" t="s">
        <v>254</v>
      </c>
      <c r="B106" s="3" t="s">
        <v>213</v>
      </c>
      <c r="C106" s="3" t="s">
        <v>15</v>
      </c>
      <c r="D106" s="3" t="s">
        <v>53</v>
      </c>
      <c r="E106" s="3" t="s">
        <v>255</v>
      </c>
      <c r="F106" s="3"/>
      <c r="G106" s="60">
        <f t="shared" ref="G106:I106" si="53">G107+G109</f>
        <v>3378.114</v>
      </c>
      <c r="H106" s="60">
        <f t="shared" si="53"/>
        <v>1391.82188</v>
      </c>
      <c r="I106" s="60">
        <f t="shared" si="53"/>
        <v>4769.93588</v>
      </c>
      <c r="J106" s="98"/>
    </row>
    <row r="107" spans="1:10" ht="36" x14ac:dyDescent="0.2">
      <c r="A107" s="4" t="s">
        <v>138</v>
      </c>
      <c r="B107" s="3" t="s">
        <v>213</v>
      </c>
      <c r="C107" s="3" t="s">
        <v>15</v>
      </c>
      <c r="D107" s="3" t="s">
        <v>53</v>
      </c>
      <c r="E107" s="3" t="s">
        <v>136</v>
      </c>
      <c r="F107" s="3"/>
      <c r="G107" s="60">
        <f t="shared" ref="G107:I107" si="54">G108</f>
        <v>3095.6840000000002</v>
      </c>
      <c r="H107" s="60">
        <f t="shared" si="54"/>
        <v>791.72188000000006</v>
      </c>
      <c r="I107" s="60">
        <f t="shared" si="54"/>
        <v>3887.4058800000003</v>
      </c>
      <c r="J107" s="98"/>
    </row>
    <row r="108" spans="1:10" ht="60" x14ac:dyDescent="0.2">
      <c r="A108" s="4" t="s">
        <v>38</v>
      </c>
      <c r="B108" s="3" t="s">
        <v>213</v>
      </c>
      <c r="C108" s="3" t="s">
        <v>15</v>
      </c>
      <c r="D108" s="3" t="s">
        <v>53</v>
      </c>
      <c r="E108" s="3" t="s">
        <v>136</v>
      </c>
      <c r="F108" s="3" t="s">
        <v>34</v>
      </c>
      <c r="G108" s="60">
        <v>3095.6840000000002</v>
      </c>
      <c r="H108" s="60">
        <f>608.0818+183.64008</f>
        <v>791.72188000000006</v>
      </c>
      <c r="I108" s="60">
        <f>G108+H108</f>
        <v>3887.4058800000003</v>
      </c>
      <c r="J108" s="98"/>
    </row>
    <row r="109" spans="1:10" ht="36" x14ac:dyDescent="0.2">
      <c r="A109" s="4" t="s">
        <v>137</v>
      </c>
      <c r="B109" s="3" t="s">
        <v>213</v>
      </c>
      <c r="C109" s="3" t="s">
        <v>15</v>
      </c>
      <c r="D109" s="3" t="s">
        <v>53</v>
      </c>
      <c r="E109" s="3" t="s">
        <v>248</v>
      </c>
      <c r="F109" s="3"/>
      <c r="G109" s="60">
        <f t="shared" ref="G109:I109" si="55">G110+G111</f>
        <v>282.43</v>
      </c>
      <c r="H109" s="60">
        <f t="shared" si="55"/>
        <v>600.1</v>
      </c>
      <c r="I109" s="60">
        <f t="shared" si="55"/>
        <v>882.53</v>
      </c>
      <c r="J109" s="98"/>
    </row>
    <row r="110" spans="1:10" ht="24" x14ac:dyDescent="0.2">
      <c r="A110" s="4" t="s">
        <v>47</v>
      </c>
      <c r="B110" s="3" t="s">
        <v>213</v>
      </c>
      <c r="C110" s="3" t="s">
        <v>15</v>
      </c>
      <c r="D110" s="3" t="s">
        <v>53</v>
      </c>
      <c r="E110" s="3" t="s">
        <v>248</v>
      </c>
      <c r="F110" s="3" t="s">
        <v>51</v>
      </c>
      <c r="G110" s="60">
        <v>276.43</v>
      </c>
      <c r="H110" s="60">
        <f>600.1</f>
        <v>600.1</v>
      </c>
      <c r="I110" s="60">
        <f>G110+H110</f>
        <v>876.53</v>
      </c>
      <c r="J110" s="98"/>
    </row>
    <row r="111" spans="1:10" ht="24" x14ac:dyDescent="0.2">
      <c r="A111" s="4" t="s">
        <v>73</v>
      </c>
      <c r="B111" s="3" t="s">
        <v>213</v>
      </c>
      <c r="C111" s="3" t="s">
        <v>15</v>
      </c>
      <c r="D111" s="3" t="s">
        <v>53</v>
      </c>
      <c r="E111" s="3" t="s">
        <v>248</v>
      </c>
      <c r="F111" s="3" t="s">
        <v>80</v>
      </c>
      <c r="G111" s="60">
        <v>6</v>
      </c>
      <c r="H111" s="60"/>
      <c r="I111" s="60">
        <f>G111+H111</f>
        <v>6</v>
      </c>
      <c r="J111" s="98"/>
    </row>
    <row r="112" spans="1:10" ht="24" x14ac:dyDescent="0.2">
      <c r="A112" s="4" t="s">
        <v>545</v>
      </c>
      <c r="B112" s="3" t="s">
        <v>213</v>
      </c>
      <c r="C112" s="3" t="s">
        <v>15</v>
      </c>
      <c r="D112" s="3" t="s">
        <v>53</v>
      </c>
      <c r="E112" s="3" t="s">
        <v>577</v>
      </c>
      <c r="F112" s="3"/>
      <c r="G112" s="60">
        <f>G113</f>
        <v>16.219000000000001</v>
      </c>
      <c r="H112" s="60">
        <f t="shared" ref="H112:I112" si="56">H113</f>
        <v>-16.219000000000001</v>
      </c>
      <c r="I112" s="60">
        <f t="shared" si="56"/>
        <v>0</v>
      </c>
      <c r="J112" s="98"/>
    </row>
    <row r="113" spans="1:10" ht="60" x14ac:dyDescent="0.2">
      <c r="A113" s="4" t="s">
        <v>38</v>
      </c>
      <c r="B113" s="3" t="s">
        <v>213</v>
      </c>
      <c r="C113" s="3" t="s">
        <v>15</v>
      </c>
      <c r="D113" s="3" t="s">
        <v>53</v>
      </c>
      <c r="E113" s="3" t="s">
        <v>577</v>
      </c>
      <c r="F113" s="3" t="s">
        <v>34</v>
      </c>
      <c r="G113" s="60">
        <v>16.219000000000001</v>
      </c>
      <c r="H113" s="60">
        <f>-12.457-3.762</f>
        <v>-16.219000000000001</v>
      </c>
      <c r="I113" s="60">
        <f>G113+H113</f>
        <v>0</v>
      </c>
      <c r="J113" s="98"/>
    </row>
    <row r="114" spans="1:10" ht="72" x14ac:dyDescent="0.2">
      <c r="A114" s="4" t="s">
        <v>388</v>
      </c>
      <c r="B114" s="3" t="s">
        <v>213</v>
      </c>
      <c r="C114" s="3" t="s">
        <v>15</v>
      </c>
      <c r="D114" s="3" t="s">
        <v>53</v>
      </c>
      <c r="E114" s="3" t="s">
        <v>12</v>
      </c>
      <c r="F114" s="3"/>
      <c r="G114" s="60">
        <f t="shared" ref="G114:I116" si="57">G115</f>
        <v>600.1</v>
      </c>
      <c r="H114" s="60">
        <f t="shared" si="57"/>
        <v>-600.1</v>
      </c>
      <c r="I114" s="60">
        <f t="shared" si="57"/>
        <v>0</v>
      </c>
      <c r="J114" s="98"/>
    </row>
    <row r="115" spans="1:10" ht="60" x14ac:dyDescent="0.2">
      <c r="A115" s="4" t="s">
        <v>135</v>
      </c>
      <c r="B115" s="3" t="s">
        <v>213</v>
      </c>
      <c r="C115" s="3" t="s">
        <v>15</v>
      </c>
      <c r="D115" s="3" t="s">
        <v>53</v>
      </c>
      <c r="E115" s="3" t="s">
        <v>256</v>
      </c>
      <c r="F115" s="3"/>
      <c r="G115" s="60">
        <f t="shared" si="57"/>
        <v>600.1</v>
      </c>
      <c r="H115" s="60">
        <f t="shared" si="57"/>
        <v>-600.1</v>
      </c>
      <c r="I115" s="60">
        <f t="shared" si="57"/>
        <v>0</v>
      </c>
      <c r="J115" s="98"/>
    </row>
    <row r="116" spans="1:10" ht="24" x14ac:dyDescent="0.2">
      <c r="A116" s="4" t="s">
        <v>257</v>
      </c>
      <c r="B116" s="3" t="s">
        <v>213</v>
      </c>
      <c r="C116" s="3" t="s">
        <v>15</v>
      </c>
      <c r="D116" s="3" t="s">
        <v>53</v>
      </c>
      <c r="E116" s="3" t="s">
        <v>226</v>
      </c>
      <c r="F116" s="3"/>
      <c r="G116" s="60">
        <f t="shared" si="57"/>
        <v>600.1</v>
      </c>
      <c r="H116" s="60">
        <f t="shared" si="57"/>
        <v>-600.1</v>
      </c>
      <c r="I116" s="60">
        <f t="shared" si="57"/>
        <v>0</v>
      </c>
      <c r="J116" s="98"/>
    </row>
    <row r="117" spans="1:10" ht="24" x14ac:dyDescent="0.2">
      <c r="A117" s="4" t="s">
        <v>47</v>
      </c>
      <c r="B117" s="3" t="s">
        <v>213</v>
      </c>
      <c r="C117" s="3" t="s">
        <v>15</v>
      </c>
      <c r="D117" s="3" t="s">
        <v>53</v>
      </c>
      <c r="E117" s="3" t="s">
        <v>226</v>
      </c>
      <c r="F117" s="3" t="s">
        <v>51</v>
      </c>
      <c r="G117" s="60">
        <v>600.1</v>
      </c>
      <c r="H117" s="60">
        <v>-600.1</v>
      </c>
      <c r="I117" s="60">
        <f>G117+H117</f>
        <v>0</v>
      </c>
      <c r="J117" s="98"/>
    </row>
    <row r="118" spans="1:10" ht="12.75" x14ac:dyDescent="0.2">
      <c r="A118" s="4" t="s">
        <v>129</v>
      </c>
      <c r="B118" s="3" t="s">
        <v>213</v>
      </c>
      <c r="C118" s="3" t="s">
        <v>15</v>
      </c>
      <c r="D118" s="3" t="s">
        <v>37</v>
      </c>
      <c r="E118" s="3"/>
      <c r="F118" s="3"/>
      <c r="G118" s="60">
        <f>G119+G122</f>
        <v>8597</v>
      </c>
      <c r="H118" s="60">
        <f t="shared" ref="H118:I118" si="58">H119+H122</f>
        <v>-7255.9179999999997</v>
      </c>
      <c r="I118" s="60">
        <f t="shared" si="58"/>
        <v>1341.0819999999999</v>
      </c>
      <c r="J118" s="98"/>
    </row>
    <row r="119" spans="1:10" ht="12.75" x14ac:dyDescent="0.2">
      <c r="A119" s="4" t="s">
        <v>129</v>
      </c>
      <c r="B119" s="3" t="s">
        <v>213</v>
      </c>
      <c r="C119" s="3" t="s">
        <v>15</v>
      </c>
      <c r="D119" s="3" t="s">
        <v>37</v>
      </c>
      <c r="E119" s="3" t="s">
        <v>258</v>
      </c>
      <c r="F119" s="3"/>
      <c r="G119" s="263">
        <f>G120</f>
        <v>2455</v>
      </c>
      <c r="H119" s="263">
        <f t="shared" ref="H119:I119" si="59">H120</f>
        <v>-1113.9180000000001</v>
      </c>
      <c r="I119" s="263">
        <f t="shared" si="59"/>
        <v>1341.0819999999999</v>
      </c>
      <c r="J119" s="98"/>
    </row>
    <row r="120" spans="1:10" ht="12.75" x14ac:dyDescent="0.2">
      <c r="A120" s="4" t="s">
        <v>46</v>
      </c>
      <c r="B120" s="3" t="s">
        <v>213</v>
      </c>
      <c r="C120" s="3" t="s">
        <v>15</v>
      </c>
      <c r="D120" s="3" t="s">
        <v>37</v>
      </c>
      <c r="E120" s="3" t="s">
        <v>44</v>
      </c>
      <c r="F120" s="3"/>
      <c r="G120" s="263">
        <f t="shared" ref="G120:I122" si="60">G121</f>
        <v>2455</v>
      </c>
      <c r="H120" s="263">
        <f t="shared" si="60"/>
        <v>-1113.9180000000001</v>
      </c>
      <c r="I120" s="263">
        <f t="shared" si="60"/>
        <v>1341.0819999999999</v>
      </c>
      <c r="J120" s="98"/>
    </row>
    <row r="121" spans="1:10" ht="24" x14ac:dyDescent="0.2">
      <c r="A121" s="7" t="s">
        <v>73</v>
      </c>
      <c r="B121" s="3" t="s">
        <v>213</v>
      </c>
      <c r="C121" s="3" t="s">
        <v>15</v>
      </c>
      <c r="D121" s="3" t="s">
        <v>37</v>
      </c>
      <c r="E121" s="3" t="s">
        <v>44</v>
      </c>
      <c r="F121" s="3" t="s">
        <v>80</v>
      </c>
      <c r="G121" s="60">
        <v>2455</v>
      </c>
      <c r="H121" s="263">
        <f>-12.5-50-519.188-532.23</f>
        <v>-1113.9180000000001</v>
      </c>
      <c r="I121" s="60">
        <f>G121+H121</f>
        <v>1341.0819999999999</v>
      </c>
      <c r="J121" s="98"/>
    </row>
    <row r="122" spans="1:10" ht="48" x14ac:dyDescent="0.2">
      <c r="A122" s="4" t="s">
        <v>327</v>
      </c>
      <c r="B122" s="3" t="s">
        <v>213</v>
      </c>
      <c r="C122" s="3" t="s">
        <v>15</v>
      </c>
      <c r="D122" s="3" t="s">
        <v>37</v>
      </c>
      <c r="E122" s="3" t="s">
        <v>346</v>
      </c>
      <c r="F122" s="3"/>
      <c r="G122" s="263">
        <f t="shared" si="60"/>
        <v>6142</v>
      </c>
      <c r="H122" s="263">
        <f t="shared" si="60"/>
        <v>-6142</v>
      </c>
      <c r="I122" s="263">
        <f t="shared" si="60"/>
        <v>0</v>
      </c>
      <c r="J122" s="98"/>
    </row>
    <row r="123" spans="1:10" ht="24" x14ac:dyDescent="0.2">
      <c r="A123" s="7" t="s">
        <v>73</v>
      </c>
      <c r="B123" s="3" t="s">
        <v>213</v>
      </c>
      <c r="C123" s="3" t="s">
        <v>15</v>
      </c>
      <c r="D123" s="3" t="s">
        <v>37</v>
      </c>
      <c r="E123" s="3" t="s">
        <v>346</v>
      </c>
      <c r="F123" s="3" t="s">
        <v>80</v>
      </c>
      <c r="G123" s="60">
        <v>6142</v>
      </c>
      <c r="H123" s="263">
        <f>-177.103-5964.897</f>
        <v>-6142</v>
      </c>
      <c r="I123" s="60">
        <f>G123+H123</f>
        <v>0</v>
      </c>
      <c r="J123" s="98"/>
    </row>
    <row r="124" spans="1:10" ht="24" x14ac:dyDescent="0.2">
      <c r="A124" s="4" t="s">
        <v>168</v>
      </c>
      <c r="B124" s="3" t="s">
        <v>213</v>
      </c>
      <c r="C124" s="3" t="s">
        <v>24</v>
      </c>
      <c r="D124" s="3"/>
      <c r="E124" s="3"/>
      <c r="F124" s="3"/>
      <c r="G124" s="60">
        <f t="shared" ref="G124:I128" si="61">G125</f>
        <v>97</v>
      </c>
      <c r="H124" s="60">
        <f t="shared" si="61"/>
        <v>0</v>
      </c>
      <c r="I124" s="60">
        <f t="shared" si="61"/>
        <v>97</v>
      </c>
      <c r="J124" s="98"/>
    </row>
    <row r="125" spans="1:10" ht="24" x14ac:dyDescent="0.2">
      <c r="A125" s="4" t="s">
        <v>25</v>
      </c>
      <c r="B125" s="3" t="s">
        <v>213</v>
      </c>
      <c r="C125" s="3" t="s">
        <v>24</v>
      </c>
      <c r="D125" s="3" t="s">
        <v>15</v>
      </c>
      <c r="E125" s="3"/>
      <c r="F125" s="3"/>
      <c r="G125" s="60">
        <f t="shared" si="61"/>
        <v>97</v>
      </c>
      <c r="H125" s="60">
        <f t="shared" si="61"/>
        <v>0</v>
      </c>
      <c r="I125" s="60">
        <f>I126</f>
        <v>97</v>
      </c>
      <c r="J125" s="98"/>
    </row>
    <row r="126" spans="1:10" ht="72" x14ac:dyDescent="0.2">
      <c r="A126" s="4" t="s">
        <v>388</v>
      </c>
      <c r="B126" s="3" t="s">
        <v>213</v>
      </c>
      <c r="C126" s="3">
        <v>13</v>
      </c>
      <c r="D126" s="3" t="s">
        <v>15</v>
      </c>
      <c r="E126" s="3" t="s">
        <v>12</v>
      </c>
      <c r="F126" s="3"/>
      <c r="G126" s="240">
        <f>G127</f>
        <v>97</v>
      </c>
      <c r="H126" s="240">
        <f t="shared" si="61"/>
        <v>0</v>
      </c>
      <c r="I126" s="240">
        <f t="shared" si="61"/>
        <v>97</v>
      </c>
      <c r="J126" s="98"/>
    </row>
    <row r="127" spans="1:10" ht="48" x14ac:dyDescent="0.2">
      <c r="A127" s="4" t="s">
        <v>11</v>
      </c>
      <c r="B127" s="3" t="s">
        <v>213</v>
      </c>
      <c r="C127" s="3">
        <v>13</v>
      </c>
      <c r="D127" s="3" t="s">
        <v>15</v>
      </c>
      <c r="E127" s="3" t="s">
        <v>10</v>
      </c>
      <c r="F127" s="3"/>
      <c r="G127" s="240">
        <f t="shared" si="61"/>
        <v>97</v>
      </c>
      <c r="H127" s="240">
        <f t="shared" si="61"/>
        <v>0</v>
      </c>
      <c r="I127" s="240">
        <f t="shared" si="61"/>
        <v>97</v>
      </c>
      <c r="J127" s="98"/>
    </row>
    <row r="128" spans="1:10" ht="24" x14ac:dyDescent="0.2">
      <c r="A128" s="4" t="s">
        <v>389</v>
      </c>
      <c r="B128" s="3" t="s">
        <v>213</v>
      </c>
      <c r="C128" s="3">
        <v>13</v>
      </c>
      <c r="D128" s="3" t="s">
        <v>15</v>
      </c>
      <c r="E128" s="3" t="s">
        <v>23</v>
      </c>
      <c r="F128" s="3"/>
      <c r="G128" s="240">
        <f t="shared" si="61"/>
        <v>97</v>
      </c>
      <c r="H128" s="240">
        <f t="shared" si="61"/>
        <v>0</v>
      </c>
      <c r="I128" s="240">
        <f t="shared" si="61"/>
        <v>97</v>
      </c>
      <c r="J128" s="98"/>
    </row>
    <row r="129" spans="1:10" ht="24" x14ac:dyDescent="0.2">
      <c r="A129" s="4" t="s">
        <v>22</v>
      </c>
      <c r="B129" s="3" t="s">
        <v>213</v>
      </c>
      <c r="C129" s="3">
        <v>13</v>
      </c>
      <c r="D129" s="3" t="s">
        <v>15</v>
      </c>
      <c r="E129" s="3" t="s">
        <v>23</v>
      </c>
      <c r="F129" s="3" t="s">
        <v>21</v>
      </c>
      <c r="G129" s="60">
        <v>97</v>
      </c>
      <c r="H129" s="240"/>
      <c r="I129" s="60">
        <f>G129+H129</f>
        <v>97</v>
      </c>
      <c r="J129" s="98"/>
    </row>
    <row r="130" spans="1:10" ht="12.75" x14ac:dyDescent="0.2">
      <c r="A130" s="4" t="s">
        <v>8</v>
      </c>
      <c r="B130" s="3" t="s">
        <v>213</v>
      </c>
      <c r="C130" s="3"/>
      <c r="D130" s="3"/>
      <c r="E130" s="3"/>
      <c r="F130" s="3"/>
      <c r="G130" s="60">
        <f>G184+G172+G131+G148+G178+G161</f>
        <v>39446.440430000002</v>
      </c>
      <c r="H130" s="60">
        <f>H184+H172+H131+H148+H178+H161</f>
        <v>2272.3389999999999</v>
      </c>
      <c r="I130" s="60">
        <f>I184+I172+I131+I148+I178+I161</f>
        <v>41718.779430000002</v>
      </c>
      <c r="J130" s="98"/>
    </row>
    <row r="131" spans="1:10" ht="24" x14ac:dyDescent="0.2">
      <c r="A131" s="7" t="s">
        <v>122</v>
      </c>
      <c r="B131" s="3" t="s">
        <v>213</v>
      </c>
      <c r="C131" s="3" t="s">
        <v>6</v>
      </c>
      <c r="D131" s="3"/>
      <c r="E131" s="3"/>
      <c r="F131" s="3"/>
      <c r="G131" s="60">
        <f>G132+G139</f>
        <v>723.57142999999996</v>
      </c>
      <c r="H131" s="60">
        <f t="shared" ref="H131:I131" si="62">H132+H139</f>
        <v>696.29099999999994</v>
      </c>
      <c r="I131" s="60">
        <f t="shared" si="62"/>
        <v>1419.8624300000001</v>
      </c>
      <c r="J131" s="98"/>
    </row>
    <row r="132" spans="1:10" ht="36" x14ac:dyDescent="0.2">
      <c r="A132" s="7" t="s">
        <v>121</v>
      </c>
      <c r="B132" s="3" t="s">
        <v>213</v>
      </c>
      <c r="C132" s="3" t="s">
        <v>6</v>
      </c>
      <c r="D132" s="3" t="s">
        <v>67</v>
      </c>
      <c r="E132" s="3"/>
      <c r="F132" s="3"/>
      <c r="G132" s="60">
        <f>G133+G137</f>
        <v>20</v>
      </c>
      <c r="H132" s="60">
        <f t="shared" ref="H132:I132" si="63">H133+H137</f>
        <v>519.18799999999999</v>
      </c>
      <c r="I132" s="60">
        <f t="shared" si="63"/>
        <v>539.18799999999999</v>
      </c>
      <c r="J132" s="98"/>
    </row>
    <row r="133" spans="1:10" ht="72" x14ac:dyDescent="0.2">
      <c r="A133" s="4" t="s">
        <v>388</v>
      </c>
      <c r="B133" s="3" t="s">
        <v>213</v>
      </c>
      <c r="C133" s="3" t="s">
        <v>6</v>
      </c>
      <c r="D133" s="3" t="s">
        <v>67</v>
      </c>
      <c r="E133" s="3" t="s">
        <v>12</v>
      </c>
      <c r="F133" s="3"/>
      <c r="G133" s="60">
        <f>G134</f>
        <v>20</v>
      </c>
      <c r="H133" s="60">
        <f t="shared" ref="H133:I134" si="64">H134</f>
        <v>0</v>
      </c>
      <c r="I133" s="60">
        <f t="shared" si="64"/>
        <v>20</v>
      </c>
      <c r="J133" s="98"/>
    </row>
    <row r="134" spans="1:10" ht="48" x14ac:dyDescent="0.2">
      <c r="A134" s="7" t="s">
        <v>11</v>
      </c>
      <c r="B134" s="3" t="s">
        <v>213</v>
      </c>
      <c r="C134" s="3" t="s">
        <v>6</v>
      </c>
      <c r="D134" s="3" t="s">
        <v>67</v>
      </c>
      <c r="E134" s="3" t="s">
        <v>10</v>
      </c>
      <c r="F134" s="3"/>
      <c r="G134" s="60">
        <f>G135</f>
        <v>20</v>
      </c>
      <c r="H134" s="60">
        <f t="shared" si="64"/>
        <v>0</v>
      </c>
      <c r="I134" s="60">
        <f t="shared" si="64"/>
        <v>20</v>
      </c>
      <c r="J134" s="98"/>
    </row>
    <row r="135" spans="1:10" ht="24" x14ac:dyDescent="0.2">
      <c r="A135" s="7" t="s">
        <v>9</v>
      </c>
      <c r="B135" s="3" t="s">
        <v>213</v>
      </c>
      <c r="C135" s="3" t="s">
        <v>6</v>
      </c>
      <c r="D135" s="3" t="s">
        <v>67</v>
      </c>
      <c r="E135" s="3" t="s">
        <v>259</v>
      </c>
      <c r="F135" s="3"/>
      <c r="G135" s="60">
        <f>G136</f>
        <v>20</v>
      </c>
      <c r="H135" s="60">
        <f t="shared" ref="H135:I135" si="65">H136</f>
        <v>0</v>
      </c>
      <c r="I135" s="60">
        <f t="shared" si="65"/>
        <v>20</v>
      </c>
      <c r="J135" s="98"/>
    </row>
    <row r="136" spans="1:10" ht="12.75" x14ac:dyDescent="0.2">
      <c r="A136" s="7" t="s">
        <v>8</v>
      </c>
      <c r="B136" s="3" t="s">
        <v>213</v>
      </c>
      <c r="C136" s="3" t="s">
        <v>6</v>
      </c>
      <c r="D136" s="3" t="s">
        <v>67</v>
      </c>
      <c r="E136" s="3" t="s">
        <v>259</v>
      </c>
      <c r="F136" s="3" t="s">
        <v>5</v>
      </c>
      <c r="G136" s="60">
        <v>20</v>
      </c>
      <c r="H136" s="60"/>
      <c r="I136" s="60">
        <f>G136+H136</f>
        <v>20</v>
      </c>
      <c r="J136" s="98"/>
    </row>
    <row r="137" spans="1:10" ht="12.75" x14ac:dyDescent="0.2">
      <c r="A137" s="4" t="s">
        <v>46</v>
      </c>
      <c r="B137" s="3" t="s">
        <v>213</v>
      </c>
      <c r="C137" s="3" t="s">
        <v>6</v>
      </c>
      <c r="D137" s="3" t="s">
        <v>67</v>
      </c>
      <c r="E137" s="3" t="s">
        <v>44</v>
      </c>
      <c r="F137" s="3"/>
      <c r="G137" s="60">
        <f>G138</f>
        <v>0</v>
      </c>
      <c r="H137" s="60">
        <f>H138</f>
        <v>519.18799999999999</v>
      </c>
      <c r="I137" s="60">
        <f>I138</f>
        <v>519.18799999999999</v>
      </c>
      <c r="J137" s="98"/>
    </row>
    <row r="138" spans="1:10" ht="12.75" x14ac:dyDescent="0.2">
      <c r="A138" s="7" t="s">
        <v>8</v>
      </c>
      <c r="B138" s="3" t="s">
        <v>213</v>
      </c>
      <c r="C138" s="3" t="s">
        <v>6</v>
      </c>
      <c r="D138" s="3" t="s">
        <v>67</v>
      </c>
      <c r="E138" s="3" t="s">
        <v>44</v>
      </c>
      <c r="F138" s="3" t="s">
        <v>5</v>
      </c>
      <c r="G138" s="60"/>
      <c r="H138" s="60">
        <v>519.18799999999999</v>
      </c>
      <c r="I138" s="60">
        <f>H138+G138</f>
        <v>519.18799999999999</v>
      </c>
      <c r="J138" s="98"/>
    </row>
    <row r="139" spans="1:10" ht="12.75" x14ac:dyDescent="0.2">
      <c r="A139" s="4" t="s">
        <v>573</v>
      </c>
      <c r="B139" s="3" t="s">
        <v>213</v>
      </c>
      <c r="C139" s="3" t="s">
        <v>6</v>
      </c>
      <c r="D139" s="3" t="s">
        <v>54</v>
      </c>
      <c r="E139" s="3"/>
      <c r="F139" s="3"/>
      <c r="G139" s="60">
        <f>G140+G144</f>
        <v>703.57142999999996</v>
      </c>
      <c r="H139" s="60">
        <f t="shared" ref="H139:I139" si="66">H140+H144</f>
        <v>177.10300000000001</v>
      </c>
      <c r="I139" s="60">
        <f t="shared" si="66"/>
        <v>880.67443000000003</v>
      </c>
      <c r="J139" s="98"/>
    </row>
    <row r="140" spans="1:10" ht="72" x14ac:dyDescent="0.2">
      <c r="A140" s="4" t="s">
        <v>388</v>
      </c>
      <c r="B140" s="3" t="s">
        <v>213</v>
      </c>
      <c r="C140" s="3" t="s">
        <v>6</v>
      </c>
      <c r="D140" s="3" t="s">
        <v>54</v>
      </c>
      <c r="E140" s="3" t="s">
        <v>12</v>
      </c>
      <c r="F140" s="3"/>
      <c r="G140" s="60">
        <f>G141</f>
        <v>275</v>
      </c>
      <c r="H140" s="60">
        <f t="shared" ref="H140:I141" si="67">H141</f>
        <v>177.10300000000001</v>
      </c>
      <c r="I140" s="60">
        <f t="shared" si="67"/>
        <v>452.10300000000001</v>
      </c>
      <c r="J140" s="98"/>
    </row>
    <row r="141" spans="1:10" ht="48" x14ac:dyDescent="0.2">
      <c r="A141" s="7" t="s">
        <v>11</v>
      </c>
      <c r="B141" s="3" t="s">
        <v>213</v>
      </c>
      <c r="C141" s="3" t="s">
        <v>6</v>
      </c>
      <c r="D141" s="3" t="s">
        <v>54</v>
      </c>
      <c r="E141" s="3" t="s">
        <v>10</v>
      </c>
      <c r="F141" s="3"/>
      <c r="G141" s="60">
        <f>G142</f>
        <v>275</v>
      </c>
      <c r="H141" s="60">
        <f t="shared" si="67"/>
        <v>177.10300000000001</v>
      </c>
      <c r="I141" s="60">
        <f t="shared" si="67"/>
        <v>452.10300000000001</v>
      </c>
      <c r="J141" s="98"/>
    </row>
    <row r="142" spans="1:10" ht="24" x14ac:dyDescent="0.2">
      <c r="A142" s="7" t="s">
        <v>9</v>
      </c>
      <c r="B142" s="3" t="s">
        <v>213</v>
      </c>
      <c r="C142" s="3" t="s">
        <v>6</v>
      </c>
      <c r="D142" s="3" t="s">
        <v>54</v>
      </c>
      <c r="E142" s="3" t="s">
        <v>259</v>
      </c>
      <c r="F142" s="3"/>
      <c r="G142" s="60">
        <f>G143</f>
        <v>275</v>
      </c>
      <c r="H142" s="60">
        <f t="shared" ref="H142" si="68">H143</f>
        <v>177.10300000000001</v>
      </c>
      <c r="I142" s="60">
        <f t="shared" ref="I142" si="69">I143</f>
        <v>452.10300000000001</v>
      </c>
      <c r="J142" s="98"/>
    </row>
    <row r="143" spans="1:10" ht="12.75" x14ac:dyDescent="0.2">
      <c r="A143" s="7" t="s">
        <v>8</v>
      </c>
      <c r="B143" s="3" t="s">
        <v>213</v>
      </c>
      <c r="C143" s="3" t="s">
        <v>6</v>
      </c>
      <c r="D143" s="3" t="s">
        <v>54</v>
      </c>
      <c r="E143" s="3" t="s">
        <v>259</v>
      </c>
      <c r="F143" s="3" t="s">
        <v>5</v>
      </c>
      <c r="G143" s="60">
        <v>275</v>
      </c>
      <c r="H143" s="60">
        <v>177.10300000000001</v>
      </c>
      <c r="I143" s="60">
        <f>G143+H143</f>
        <v>452.10300000000001</v>
      </c>
      <c r="J143" s="98"/>
    </row>
    <row r="144" spans="1:10" ht="60.75" x14ac:dyDescent="0.25">
      <c r="A144" s="4" t="s">
        <v>273</v>
      </c>
      <c r="B144" s="3" t="s">
        <v>213</v>
      </c>
      <c r="C144" s="3" t="s">
        <v>6</v>
      </c>
      <c r="D144" s="3" t="s">
        <v>54</v>
      </c>
      <c r="E144" s="3" t="s">
        <v>95</v>
      </c>
      <c r="F144" s="3"/>
      <c r="G144" s="271">
        <f>G145</f>
        <v>428.57143000000002</v>
      </c>
      <c r="H144" s="271">
        <f t="shared" ref="H144:I146" si="70">H145</f>
        <v>0</v>
      </c>
      <c r="I144" s="271">
        <f t="shared" si="70"/>
        <v>428.57143000000002</v>
      </c>
      <c r="J144" s="98"/>
    </row>
    <row r="145" spans="1:10" ht="72.75" x14ac:dyDescent="0.25">
      <c r="A145" s="4" t="s">
        <v>117</v>
      </c>
      <c r="B145" s="3" t="s">
        <v>213</v>
      </c>
      <c r="C145" s="3" t="s">
        <v>6</v>
      </c>
      <c r="D145" s="3" t="s">
        <v>54</v>
      </c>
      <c r="E145" s="3" t="s">
        <v>277</v>
      </c>
      <c r="F145" s="3"/>
      <c r="G145" s="271">
        <f>G146</f>
        <v>428.57143000000002</v>
      </c>
      <c r="H145" s="271">
        <f t="shared" si="70"/>
        <v>0</v>
      </c>
      <c r="I145" s="271">
        <f t="shared" si="70"/>
        <v>428.57143000000002</v>
      </c>
      <c r="J145" s="98"/>
    </row>
    <row r="146" spans="1:10" ht="72.75" x14ac:dyDescent="0.25">
      <c r="A146" s="4" t="s">
        <v>574</v>
      </c>
      <c r="B146" s="3" t="s">
        <v>213</v>
      </c>
      <c r="C146" s="3" t="s">
        <v>6</v>
      </c>
      <c r="D146" s="3" t="s">
        <v>54</v>
      </c>
      <c r="E146" s="3" t="s">
        <v>575</v>
      </c>
      <c r="F146" s="3"/>
      <c r="G146" s="271">
        <f>G147</f>
        <v>428.57143000000002</v>
      </c>
      <c r="H146" s="271">
        <f t="shared" si="70"/>
        <v>0</v>
      </c>
      <c r="I146" s="271">
        <f t="shared" si="70"/>
        <v>428.57143000000002</v>
      </c>
      <c r="J146" s="98"/>
    </row>
    <row r="147" spans="1:10" x14ac:dyDescent="0.25">
      <c r="A147" s="7" t="s">
        <v>8</v>
      </c>
      <c r="B147" s="3" t="s">
        <v>213</v>
      </c>
      <c r="C147" s="3" t="s">
        <v>6</v>
      </c>
      <c r="D147" s="3" t="s">
        <v>54</v>
      </c>
      <c r="E147" s="3" t="s">
        <v>575</v>
      </c>
      <c r="F147" s="3" t="s">
        <v>5</v>
      </c>
      <c r="G147" s="271">
        <v>428.57143000000002</v>
      </c>
      <c r="H147" s="272"/>
      <c r="I147" s="271">
        <f>G147+H147</f>
        <v>428.57143000000002</v>
      </c>
      <c r="J147" s="98"/>
    </row>
    <row r="148" spans="1:10" ht="12.75" x14ac:dyDescent="0.2">
      <c r="A148" s="4" t="s">
        <v>111</v>
      </c>
      <c r="B148" s="3" t="s">
        <v>213</v>
      </c>
      <c r="C148" s="3" t="s">
        <v>59</v>
      </c>
      <c r="D148" s="3"/>
      <c r="E148" s="3"/>
      <c r="F148" s="3"/>
      <c r="G148" s="60">
        <f>G149+G156</f>
        <v>267.26900000000001</v>
      </c>
      <c r="H148" s="60">
        <f t="shared" ref="H148:I148" si="71">H149+H156</f>
        <v>1239.6600000000001</v>
      </c>
      <c r="I148" s="60">
        <f t="shared" si="71"/>
        <v>1506.9290000000001</v>
      </c>
      <c r="J148" s="98"/>
    </row>
    <row r="149" spans="1:10" ht="12.75" x14ac:dyDescent="0.2">
      <c r="A149" s="4" t="s">
        <v>105</v>
      </c>
      <c r="B149" s="3" t="s">
        <v>213</v>
      </c>
      <c r="C149" s="3" t="s">
        <v>59</v>
      </c>
      <c r="D149" s="3" t="s">
        <v>67</v>
      </c>
      <c r="E149" s="3"/>
      <c r="F149" s="3"/>
      <c r="G149" s="60">
        <f>G150+G154</f>
        <v>267.26900000000001</v>
      </c>
      <c r="H149" s="60">
        <f t="shared" ref="H149:I149" si="72">H150+H154</f>
        <v>55.2</v>
      </c>
      <c r="I149" s="60">
        <f t="shared" si="72"/>
        <v>322.46899999999999</v>
      </c>
      <c r="J149" s="98"/>
    </row>
    <row r="150" spans="1:10" ht="60" x14ac:dyDescent="0.2">
      <c r="A150" s="7" t="s">
        <v>403</v>
      </c>
      <c r="B150" s="3" t="s">
        <v>213</v>
      </c>
      <c r="C150" s="3" t="s">
        <v>59</v>
      </c>
      <c r="D150" s="3" t="s">
        <v>67</v>
      </c>
      <c r="E150" s="3" t="s">
        <v>404</v>
      </c>
      <c r="F150" s="3"/>
      <c r="G150" s="60">
        <f>G151</f>
        <v>267.26900000000001</v>
      </c>
      <c r="H150" s="60">
        <f t="shared" ref="H150:I152" si="73">H151</f>
        <v>5.2</v>
      </c>
      <c r="I150" s="60">
        <f t="shared" si="73"/>
        <v>272.46899999999999</v>
      </c>
      <c r="J150" s="98"/>
    </row>
    <row r="151" spans="1:10" ht="24" x14ac:dyDescent="0.2">
      <c r="A151" s="7" t="s">
        <v>570</v>
      </c>
      <c r="B151" s="3" t="s">
        <v>213</v>
      </c>
      <c r="C151" s="3" t="s">
        <v>59</v>
      </c>
      <c r="D151" s="3" t="s">
        <v>67</v>
      </c>
      <c r="E151" s="3" t="s">
        <v>405</v>
      </c>
      <c r="F151" s="3"/>
      <c r="G151" s="60">
        <f>G152</f>
        <v>267.26900000000001</v>
      </c>
      <c r="H151" s="60">
        <f t="shared" si="73"/>
        <v>5.2</v>
      </c>
      <c r="I151" s="60">
        <f t="shared" si="73"/>
        <v>272.46899999999999</v>
      </c>
      <c r="J151" s="98"/>
    </row>
    <row r="152" spans="1:10" s="62" customFormat="1" ht="24" x14ac:dyDescent="0.25">
      <c r="A152" s="7" t="s">
        <v>569</v>
      </c>
      <c r="B152" s="290" t="s">
        <v>213</v>
      </c>
      <c r="C152" s="290" t="s">
        <v>59</v>
      </c>
      <c r="D152" s="290" t="s">
        <v>67</v>
      </c>
      <c r="E152" s="290" t="s">
        <v>406</v>
      </c>
      <c r="F152" s="290"/>
      <c r="G152" s="297">
        <f>G153</f>
        <v>267.26900000000001</v>
      </c>
      <c r="H152" s="297">
        <f t="shared" si="73"/>
        <v>5.2</v>
      </c>
      <c r="I152" s="297">
        <f t="shared" si="73"/>
        <v>272.46899999999999</v>
      </c>
      <c r="J152" s="99"/>
    </row>
    <row r="153" spans="1:10" ht="12.75" x14ac:dyDescent="0.2">
      <c r="A153" s="7" t="s">
        <v>8</v>
      </c>
      <c r="B153" s="3" t="s">
        <v>213</v>
      </c>
      <c r="C153" s="3" t="s">
        <v>59</v>
      </c>
      <c r="D153" s="3" t="s">
        <v>67</v>
      </c>
      <c r="E153" s="3" t="s">
        <v>406</v>
      </c>
      <c r="F153" s="3" t="s">
        <v>5</v>
      </c>
      <c r="G153" s="60">
        <v>267.26900000000001</v>
      </c>
      <c r="H153" s="60">
        <f>5.2</f>
        <v>5.2</v>
      </c>
      <c r="I153" s="60">
        <f>G153+H153</f>
        <v>272.46899999999999</v>
      </c>
      <c r="J153" s="98"/>
    </row>
    <row r="154" spans="1:10" ht="12.75" x14ac:dyDescent="0.2">
      <c r="A154" s="4" t="s">
        <v>46</v>
      </c>
      <c r="B154" s="3" t="s">
        <v>213</v>
      </c>
      <c r="C154" s="3" t="s">
        <v>59</v>
      </c>
      <c r="D154" s="3" t="s">
        <v>67</v>
      </c>
      <c r="E154" s="3" t="s">
        <v>44</v>
      </c>
      <c r="F154" s="3"/>
      <c r="G154" s="60">
        <f>G155</f>
        <v>0</v>
      </c>
      <c r="H154" s="60">
        <f>H155</f>
        <v>50</v>
      </c>
      <c r="I154" s="60">
        <f t="shared" ref="I154:I166" si="74">G154+H154</f>
        <v>50</v>
      </c>
      <c r="J154" s="98"/>
    </row>
    <row r="155" spans="1:10" ht="12.75" x14ac:dyDescent="0.2">
      <c r="A155" s="7" t="s">
        <v>8</v>
      </c>
      <c r="B155" s="3" t="s">
        <v>213</v>
      </c>
      <c r="C155" s="3" t="s">
        <v>59</v>
      </c>
      <c r="D155" s="3" t="s">
        <v>67</v>
      </c>
      <c r="E155" s="3" t="s">
        <v>44</v>
      </c>
      <c r="F155" s="3" t="s">
        <v>5</v>
      </c>
      <c r="G155" s="60"/>
      <c r="H155" s="60">
        <v>50</v>
      </c>
      <c r="I155" s="60">
        <f t="shared" si="74"/>
        <v>50</v>
      </c>
      <c r="J155" s="98"/>
    </row>
    <row r="156" spans="1:10" ht="24" x14ac:dyDescent="0.2">
      <c r="A156" s="7" t="s">
        <v>104</v>
      </c>
      <c r="B156" s="3" t="s">
        <v>213</v>
      </c>
      <c r="C156" s="3" t="s">
        <v>59</v>
      </c>
      <c r="D156" s="3" t="s">
        <v>28</v>
      </c>
      <c r="E156" s="3"/>
      <c r="F156" s="3"/>
      <c r="G156" s="60">
        <f>G157</f>
        <v>0</v>
      </c>
      <c r="H156" s="60">
        <f t="shared" ref="H156:I158" si="75">H157</f>
        <v>1184.46</v>
      </c>
      <c r="I156" s="60">
        <f t="shared" si="75"/>
        <v>1184.46</v>
      </c>
      <c r="J156" s="98"/>
    </row>
    <row r="157" spans="1:10" ht="72" x14ac:dyDescent="0.2">
      <c r="A157" s="4" t="s">
        <v>411</v>
      </c>
      <c r="B157" s="3" t="s">
        <v>213</v>
      </c>
      <c r="C157" s="3" t="s">
        <v>59</v>
      </c>
      <c r="D157" s="3" t="s">
        <v>28</v>
      </c>
      <c r="E157" s="3" t="s">
        <v>412</v>
      </c>
      <c r="F157" s="3"/>
      <c r="G157" s="266">
        <f>G158</f>
        <v>0</v>
      </c>
      <c r="H157" s="266">
        <f t="shared" si="75"/>
        <v>1184.46</v>
      </c>
      <c r="I157" s="266">
        <f t="shared" si="75"/>
        <v>1184.46</v>
      </c>
      <c r="J157" s="98"/>
    </row>
    <row r="158" spans="1:10" ht="36" x14ac:dyDescent="0.2">
      <c r="A158" s="4" t="s">
        <v>101</v>
      </c>
      <c r="B158" s="3" t="s">
        <v>213</v>
      </c>
      <c r="C158" s="3" t="s">
        <v>59</v>
      </c>
      <c r="D158" s="3" t="s">
        <v>28</v>
      </c>
      <c r="E158" s="3" t="s">
        <v>413</v>
      </c>
      <c r="F158" s="3"/>
      <c r="G158" s="266">
        <f>G159</f>
        <v>0</v>
      </c>
      <c r="H158" s="266">
        <f t="shared" si="75"/>
        <v>1184.46</v>
      </c>
      <c r="I158" s="266">
        <f t="shared" si="75"/>
        <v>1184.46</v>
      </c>
      <c r="J158" s="98"/>
    </row>
    <row r="159" spans="1:10" ht="36" x14ac:dyDescent="0.2">
      <c r="A159" s="4" t="s">
        <v>293</v>
      </c>
      <c r="B159" s="3" t="s">
        <v>213</v>
      </c>
      <c r="C159" s="3" t="s">
        <v>59</v>
      </c>
      <c r="D159" s="3" t="s">
        <v>28</v>
      </c>
      <c r="E159" s="3" t="s">
        <v>414</v>
      </c>
      <c r="F159" s="3"/>
      <c r="G159" s="266">
        <f t="shared" ref="G159:I159" si="76">G160</f>
        <v>0</v>
      </c>
      <c r="H159" s="266">
        <f t="shared" si="76"/>
        <v>1184.46</v>
      </c>
      <c r="I159" s="266">
        <f t="shared" si="76"/>
        <v>1184.46</v>
      </c>
      <c r="J159" s="98"/>
    </row>
    <row r="160" spans="1:10" ht="12.75" x14ac:dyDescent="0.2">
      <c r="A160" s="7" t="s">
        <v>8</v>
      </c>
      <c r="B160" s="3" t="s">
        <v>213</v>
      </c>
      <c r="C160" s="3" t="s">
        <v>59</v>
      </c>
      <c r="D160" s="3" t="s">
        <v>28</v>
      </c>
      <c r="E160" s="3" t="s">
        <v>414</v>
      </c>
      <c r="F160" s="3" t="s">
        <v>5</v>
      </c>
      <c r="G160" s="60"/>
      <c r="H160" s="60">
        <f>1184.46</f>
        <v>1184.46</v>
      </c>
      <c r="I160" s="60">
        <f>G160+H160</f>
        <v>1184.46</v>
      </c>
      <c r="J160" s="98"/>
    </row>
    <row r="161" spans="1:10" ht="12.75" x14ac:dyDescent="0.2">
      <c r="A161" s="4" t="s">
        <v>100</v>
      </c>
      <c r="B161" s="3" t="s">
        <v>213</v>
      </c>
      <c r="C161" s="3" t="s">
        <v>36</v>
      </c>
      <c r="D161" s="3" t="s">
        <v>19</v>
      </c>
      <c r="E161" s="3"/>
      <c r="F161" s="3"/>
      <c r="G161" s="60">
        <f>G162+G167</f>
        <v>0</v>
      </c>
      <c r="H161" s="60">
        <f>H162+H167</f>
        <v>311.38800000000003</v>
      </c>
      <c r="I161" s="60">
        <f>I162+I167</f>
        <v>311.38800000000003</v>
      </c>
      <c r="J161" s="98"/>
    </row>
    <row r="162" spans="1:10" ht="12.75" x14ac:dyDescent="0.2">
      <c r="A162" s="4" t="s">
        <v>98</v>
      </c>
      <c r="B162" s="3" t="s">
        <v>213</v>
      </c>
      <c r="C162" s="3" t="s">
        <v>36</v>
      </c>
      <c r="D162" s="3" t="s">
        <v>27</v>
      </c>
      <c r="E162" s="3"/>
      <c r="F162" s="3"/>
      <c r="G162" s="60">
        <f t="shared" ref="G162:H165" si="77">G163</f>
        <v>0</v>
      </c>
      <c r="H162" s="60">
        <f t="shared" si="77"/>
        <v>120</v>
      </c>
      <c r="I162" s="60">
        <f t="shared" si="74"/>
        <v>120</v>
      </c>
      <c r="J162" s="98"/>
    </row>
    <row r="163" spans="1:10" ht="72" x14ac:dyDescent="0.25">
      <c r="A163" s="7" t="s">
        <v>420</v>
      </c>
      <c r="B163" s="3" t="s">
        <v>213</v>
      </c>
      <c r="C163" s="3" t="s">
        <v>36</v>
      </c>
      <c r="D163" s="3" t="s">
        <v>27</v>
      </c>
      <c r="E163" s="3" t="s">
        <v>91</v>
      </c>
      <c r="F163" s="3"/>
      <c r="G163" s="275">
        <f>G164</f>
        <v>0</v>
      </c>
      <c r="H163" s="275">
        <f t="shared" si="77"/>
        <v>120</v>
      </c>
      <c r="I163" s="60">
        <f t="shared" si="74"/>
        <v>120</v>
      </c>
      <c r="J163" s="98"/>
    </row>
    <row r="164" spans="1:10" ht="36" x14ac:dyDescent="0.25">
      <c r="A164" s="7" t="s">
        <v>94</v>
      </c>
      <c r="B164" s="3" t="s">
        <v>213</v>
      </c>
      <c r="C164" s="3" t="s">
        <v>36</v>
      </c>
      <c r="D164" s="3" t="s">
        <v>27</v>
      </c>
      <c r="E164" s="3" t="s">
        <v>421</v>
      </c>
      <c r="F164" s="3"/>
      <c r="G164" s="275">
        <f t="shared" si="77"/>
        <v>0</v>
      </c>
      <c r="H164" s="275">
        <f t="shared" si="77"/>
        <v>120</v>
      </c>
      <c r="I164" s="60">
        <f t="shared" si="74"/>
        <v>120</v>
      </c>
      <c r="J164" s="98"/>
    </row>
    <row r="165" spans="1:10" ht="48" x14ac:dyDescent="0.25">
      <c r="A165" s="7" t="s">
        <v>296</v>
      </c>
      <c r="B165" s="3" t="s">
        <v>213</v>
      </c>
      <c r="C165" s="3" t="s">
        <v>36</v>
      </c>
      <c r="D165" s="3" t="s">
        <v>27</v>
      </c>
      <c r="E165" s="3" t="s">
        <v>426</v>
      </c>
      <c r="F165" s="3"/>
      <c r="G165" s="275">
        <f t="shared" si="77"/>
        <v>0</v>
      </c>
      <c r="H165" s="275">
        <f t="shared" si="77"/>
        <v>120</v>
      </c>
      <c r="I165" s="60">
        <f t="shared" si="74"/>
        <v>120</v>
      </c>
      <c r="J165" s="98"/>
    </row>
    <row r="166" spans="1:10" x14ac:dyDescent="0.25">
      <c r="A166" s="7" t="s">
        <v>8</v>
      </c>
      <c r="B166" s="3" t="s">
        <v>213</v>
      </c>
      <c r="C166" s="3" t="s">
        <v>36</v>
      </c>
      <c r="D166" s="3" t="s">
        <v>27</v>
      </c>
      <c r="E166" s="3" t="s">
        <v>426</v>
      </c>
      <c r="F166" s="3" t="s">
        <v>5</v>
      </c>
      <c r="G166" s="271"/>
      <c r="H166" s="275">
        <v>120</v>
      </c>
      <c r="I166" s="60">
        <f t="shared" si="74"/>
        <v>120</v>
      </c>
      <c r="J166" s="98"/>
    </row>
    <row r="167" spans="1:10" ht="12.75" x14ac:dyDescent="0.2">
      <c r="A167" s="4" t="s">
        <v>92</v>
      </c>
      <c r="B167" s="3" t="s">
        <v>213</v>
      </c>
      <c r="C167" s="3" t="s">
        <v>36</v>
      </c>
      <c r="D167" s="3" t="s">
        <v>6</v>
      </c>
      <c r="E167" s="3"/>
      <c r="F167" s="3"/>
      <c r="G167" s="264">
        <f>G168</f>
        <v>0</v>
      </c>
      <c r="H167" s="264">
        <f t="shared" ref="H167:I167" si="78">H168</f>
        <v>191.38800000000001</v>
      </c>
      <c r="I167" s="264">
        <f t="shared" si="78"/>
        <v>191.38800000000001</v>
      </c>
      <c r="J167" s="98"/>
    </row>
    <row r="168" spans="1:10" ht="72.75" x14ac:dyDescent="0.25">
      <c r="A168" s="4" t="s">
        <v>420</v>
      </c>
      <c r="B168" s="3" t="s">
        <v>213</v>
      </c>
      <c r="C168" s="3" t="s">
        <v>36</v>
      </c>
      <c r="D168" s="3" t="s">
        <v>6</v>
      </c>
      <c r="E168" s="3" t="s">
        <v>91</v>
      </c>
      <c r="F168" s="3"/>
      <c r="G168" s="272">
        <f t="shared" ref="G168:I170" si="79">G169</f>
        <v>0</v>
      </c>
      <c r="H168" s="272">
        <f t="shared" si="79"/>
        <v>191.38800000000001</v>
      </c>
      <c r="I168" s="272">
        <f t="shared" si="79"/>
        <v>191.38800000000001</v>
      </c>
      <c r="J168" s="98"/>
    </row>
    <row r="169" spans="1:10" ht="36.75" x14ac:dyDescent="0.25">
      <c r="A169" s="4" t="s">
        <v>229</v>
      </c>
      <c r="B169" s="3" t="s">
        <v>213</v>
      </c>
      <c r="C169" s="3" t="s">
        <v>36</v>
      </c>
      <c r="D169" s="3" t="s">
        <v>6</v>
      </c>
      <c r="E169" s="3" t="s">
        <v>300</v>
      </c>
      <c r="F169" s="3"/>
      <c r="G169" s="272">
        <f t="shared" si="79"/>
        <v>0</v>
      </c>
      <c r="H169" s="272">
        <f t="shared" si="79"/>
        <v>191.38800000000001</v>
      </c>
      <c r="I169" s="272">
        <f t="shared" si="79"/>
        <v>191.38800000000001</v>
      </c>
      <c r="J169" s="98"/>
    </row>
    <row r="170" spans="1:10" ht="36.75" x14ac:dyDescent="0.25">
      <c r="A170" s="4" t="s">
        <v>302</v>
      </c>
      <c r="B170" s="3" t="s">
        <v>213</v>
      </c>
      <c r="C170" s="3" t="s">
        <v>36</v>
      </c>
      <c r="D170" s="3" t="s">
        <v>6</v>
      </c>
      <c r="E170" s="3" t="s">
        <v>301</v>
      </c>
      <c r="F170" s="3"/>
      <c r="G170" s="272">
        <f t="shared" si="79"/>
        <v>0</v>
      </c>
      <c r="H170" s="272">
        <f t="shared" si="79"/>
        <v>191.38800000000001</v>
      </c>
      <c r="I170" s="272">
        <f t="shared" si="79"/>
        <v>191.38800000000001</v>
      </c>
      <c r="J170" s="98"/>
    </row>
    <row r="171" spans="1:10" x14ac:dyDescent="0.25">
      <c r="A171" s="7" t="s">
        <v>8</v>
      </c>
      <c r="B171" s="3" t="s">
        <v>213</v>
      </c>
      <c r="C171" s="3" t="s">
        <v>36</v>
      </c>
      <c r="D171" s="3" t="s">
        <v>6</v>
      </c>
      <c r="E171" s="3" t="s">
        <v>301</v>
      </c>
      <c r="F171" s="3" t="s">
        <v>5</v>
      </c>
      <c r="G171" s="271"/>
      <c r="H171" s="272">
        <v>191.38800000000001</v>
      </c>
      <c r="I171" s="271">
        <f>G171+H171</f>
        <v>191.38800000000001</v>
      </c>
      <c r="J171" s="98"/>
    </row>
    <row r="172" spans="1:10" ht="12.75" x14ac:dyDescent="0.2">
      <c r="A172" s="4" t="s">
        <v>77</v>
      </c>
      <c r="B172" s="3" t="s">
        <v>213</v>
      </c>
      <c r="C172" s="3" t="s">
        <v>72</v>
      </c>
      <c r="D172" s="3"/>
      <c r="E172" s="3"/>
      <c r="F172" s="3"/>
      <c r="G172" s="60">
        <f>G173</f>
        <v>1230</v>
      </c>
      <c r="H172" s="60">
        <f t="shared" ref="H172:I176" si="80">H173</f>
        <v>25</v>
      </c>
      <c r="I172" s="60">
        <f t="shared" si="80"/>
        <v>1255</v>
      </c>
      <c r="J172" s="98"/>
    </row>
    <row r="173" spans="1:10" ht="12.75" x14ac:dyDescent="0.2">
      <c r="A173" s="4" t="s">
        <v>77</v>
      </c>
      <c r="B173" s="3" t="s">
        <v>213</v>
      </c>
      <c r="C173" s="3" t="s">
        <v>72</v>
      </c>
      <c r="D173" s="3" t="s">
        <v>15</v>
      </c>
      <c r="E173" s="3"/>
      <c r="F173" s="3"/>
      <c r="G173" s="60">
        <f>G174</f>
        <v>1230</v>
      </c>
      <c r="H173" s="60">
        <f t="shared" si="80"/>
        <v>25</v>
      </c>
      <c r="I173" s="60">
        <f t="shared" si="80"/>
        <v>1255</v>
      </c>
      <c r="J173" s="98"/>
    </row>
    <row r="174" spans="1:10" ht="72" x14ac:dyDescent="0.2">
      <c r="A174" s="4" t="s">
        <v>388</v>
      </c>
      <c r="B174" s="3" t="s">
        <v>213</v>
      </c>
      <c r="C174" s="3" t="s">
        <v>72</v>
      </c>
      <c r="D174" s="3" t="s">
        <v>15</v>
      </c>
      <c r="E174" s="3" t="s">
        <v>12</v>
      </c>
      <c r="F174" s="3"/>
      <c r="G174" s="60">
        <f>G175</f>
        <v>1230</v>
      </c>
      <c r="H174" s="60">
        <f t="shared" ref="H174:I174" si="81">H175</f>
        <v>25</v>
      </c>
      <c r="I174" s="60">
        <f t="shared" si="81"/>
        <v>1255</v>
      </c>
      <c r="J174" s="98"/>
    </row>
    <row r="175" spans="1:10" ht="48" x14ac:dyDescent="0.2">
      <c r="A175" s="7" t="s">
        <v>11</v>
      </c>
      <c r="B175" s="3" t="s">
        <v>213</v>
      </c>
      <c r="C175" s="3" t="s">
        <v>72</v>
      </c>
      <c r="D175" s="3" t="s">
        <v>15</v>
      </c>
      <c r="E175" s="3" t="s">
        <v>10</v>
      </c>
      <c r="F175" s="3"/>
      <c r="G175" s="60">
        <f>G176</f>
        <v>1230</v>
      </c>
      <c r="H175" s="60">
        <f t="shared" si="80"/>
        <v>25</v>
      </c>
      <c r="I175" s="60">
        <f t="shared" si="80"/>
        <v>1255</v>
      </c>
      <c r="J175" s="98"/>
    </row>
    <row r="176" spans="1:10" ht="24" x14ac:dyDescent="0.2">
      <c r="A176" s="7" t="s">
        <v>9</v>
      </c>
      <c r="B176" s="3" t="s">
        <v>213</v>
      </c>
      <c r="C176" s="3" t="s">
        <v>72</v>
      </c>
      <c r="D176" s="3" t="s">
        <v>15</v>
      </c>
      <c r="E176" s="3" t="s">
        <v>259</v>
      </c>
      <c r="F176" s="3"/>
      <c r="G176" s="60">
        <f>G177</f>
        <v>1230</v>
      </c>
      <c r="H176" s="60">
        <f t="shared" si="80"/>
        <v>25</v>
      </c>
      <c r="I176" s="60">
        <f t="shared" si="80"/>
        <v>1255</v>
      </c>
      <c r="J176" s="98"/>
    </row>
    <row r="177" spans="1:10" ht="12.75" x14ac:dyDescent="0.2">
      <c r="A177" s="7" t="s">
        <v>8</v>
      </c>
      <c r="B177" s="3" t="s">
        <v>213</v>
      </c>
      <c r="C177" s="3" t="s">
        <v>72</v>
      </c>
      <c r="D177" s="3" t="s">
        <v>15</v>
      </c>
      <c r="E177" s="3" t="s">
        <v>259</v>
      </c>
      <c r="F177" s="3" t="s">
        <v>5</v>
      </c>
      <c r="G177" s="60">
        <v>1230</v>
      </c>
      <c r="H177" s="60">
        <f>25</f>
        <v>25</v>
      </c>
      <c r="I177" s="60">
        <f>G177+H177</f>
        <v>1255</v>
      </c>
      <c r="J177" s="98"/>
    </row>
    <row r="178" spans="1:10" ht="12.75" x14ac:dyDescent="0.2">
      <c r="A178" s="4" t="s">
        <v>50</v>
      </c>
      <c r="B178" s="3" t="s">
        <v>213</v>
      </c>
      <c r="C178" s="3" t="s">
        <v>37</v>
      </c>
      <c r="D178" s="3"/>
      <c r="E178" s="3"/>
      <c r="F178" s="3"/>
      <c r="G178" s="60">
        <f>G179</f>
        <v>400</v>
      </c>
      <c r="H178" s="60">
        <f t="shared" ref="H178:I179" si="82">H179</f>
        <v>0</v>
      </c>
      <c r="I178" s="60">
        <f t="shared" si="82"/>
        <v>400</v>
      </c>
      <c r="J178" s="98"/>
    </row>
    <row r="179" spans="1:10" ht="12.75" x14ac:dyDescent="0.2">
      <c r="A179" s="4" t="s">
        <v>49</v>
      </c>
      <c r="B179" s="3" t="s">
        <v>213</v>
      </c>
      <c r="C179" s="3" t="s">
        <v>37</v>
      </c>
      <c r="D179" s="3" t="s">
        <v>15</v>
      </c>
      <c r="E179" s="3"/>
      <c r="F179" s="3"/>
      <c r="G179" s="60">
        <f>G180</f>
        <v>400</v>
      </c>
      <c r="H179" s="60">
        <f t="shared" si="82"/>
        <v>0</v>
      </c>
      <c r="I179" s="60">
        <f t="shared" si="82"/>
        <v>400</v>
      </c>
      <c r="J179" s="98"/>
    </row>
    <row r="180" spans="1:10" ht="72" x14ac:dyDescent="0.2">
      <c r="A180" s="4" t="s">
        <v>388</v>
      </c>
      <c r="B180" s="3" t="s">
        <v>213</v>
      </c>
      <c r="C180" s="3" t="s">
        <v>37</v>
      </c>
      <c r="D180" s="3" t="s">
        <v>15</v>
      </c>
      <c r="E180" s="3" t="s">
        <v>12</v>
      </c>
      <c r="F180" s="3"/>
      <c r="G180" s="60">
        <f>G181</f>
        <v>400</v>
      </c>
      <c r="H180" s="60">
        <f t="shared" ref="H180:I182" si="83">H181</f>
        <v>0</v>
      </c>
      <c r="I180" s="60">
        <f t="shared" ref="I180" si="84">I181</f>
        <v>400</v>
      </c>
      <c r="J180" s="98"/>
    </row>
    <row r="181" spans="1:10" ht="48" x14ac:dyDescent="0.2">
      <c r="A181" s="7" t="s">
        <v>11</v>
      </c>
      <c r="B181" s="3" t="s">
        <v>213</v>
      </c>
      <c r="C181" s="3" t="s">
        <v>37</v>
      </c>
      <c r="D181" s="3" t="s">
        <v>15</v>
      </c>
      <c r="E181" s="3" t="s">
        <v>10</v>
      </c>
      <c r="F181" s="3"/>
      <c r="G181" s="60">
        <f>G182</f>
        <v>400</v>
      </c>
      <c r="H181" s="60">
        <f t="shared" si="83"/>
        <v>0</v>
      </c>
      <c r="I181" s="60">
        <f t="shared" si="83"/>
        <v>400</v>
      </c>
      <c r="J181" s="98"/>
    </row>
    <row r="182" spans="1:10" ht="24" x14ac:dyDescent="0.2">
      <c r="A182" s="7" t="s">
        <v>9</v>
      </c>
      <c r="B182" s="3" t="s">
        <v>213</v>
      </c>
      <c r="C182" s="3" t="s">
        <v>37</v>
      </c>
      <c r="D182" s="3" t="s">
        <v>15</v>
      </c>
      <c r="E182" s="3" t="s">
        <v>259</v>
      </c>
      <c r="F182" s="3"/>
      <c r="G182" s="60">
        <f>G183</f>
        <v>400</v>
      </c>
      <c r="H182" s="60">
        <f t="shared" si="83"/>
        <v>0</v>
      </c>
      <c r="I182" s="60">
        <f t="shared" si="83"/>
        <v>400</v>
      </c>
      <c r="J182" s="98"/>
    </row>
    <row r="183" spans="1:10" ht="12.75" x14ac:dyDescent="0.2">
      <c r="A183" s="7" t="s">
        <v>8</v>
      </c>
      <c r="B183" s="3" t="s">
        <v>213</v>
      </c>
      <c r="C183" s="3" t="s">
        <v>37</v>
      </c>
      <c r="D183" s="3" t="s">
        <v>15</v>
      </c>
      <c r="E183" s="3" t="s">
        <v>259</v>
      </c>
      <c r="F183" s="3" t="s">
        <v>5</v>
      </c>
      <c r="G183" s="60">
        <v>400</v>
      </c>
      <c r="H183" s="60"/>
      <c r="I183" s="60">
        <f>G183+H183</f>
        <v>400</v>
      </c>
      <c r="J183" s="98"/>
    </row>
    <row r="184" spans="1:10" ht="36" x14ac:dyDescent="0.2">
      <c r="A184" s="4" t="s">
        <v>20</v>
      </c>
      <c r="B184" s="3" t="s">
        <v>213</v>
      </c>
      <c r="C184" s="3" t="s">
        <v>7</v>
      </c>
      <c r="D184" s="3" t="s">
        <v>19</v>
      </c>
      <c r="E184" s="3"/>
      <c r="F184" s="3"/>
      <c r="G184" s="60">
        <f>G185+G192</f>
        <v>36825.599999999999</v>
      </c>
      <c r="H184" s="60">
        <f>H185+H192</f>
        <v>0</v>
      </c>
      <c r="I184" s="60">
        <f>I185+I192</f>
        <v>36825.599999999999</v>
      </c>
      <c r="J184" s="98"/>
    </row>
    <row r="185" spans="1:10" ht="36" x14ac:dyDescent="0.2">
      <c r="A185" s="4" t="s">
        <v>18</v>
      </c>
      <c r="B185" s="3" t="s">
        <v>213</v>
      </c>
      <c r="C185" s="3" t="s">
        <v>7</v>
      </c>
      <c r="D185" s="3" t="s">
        <v>15</v>
      </c>
      <c r="E185" s="3"/>
      <c r="F185" s="3"/>
      <c r="G185" s="60">
        <f>G186</f>
        <v>25963.5</v>
      </c>
      <c r="H185" s="60">
        <f>H186</f>
        <v>0</v>
      </c>
      <c r="I185" s="60">
        <f>I186</f>
        <v>25963.5</v>
      </c>
      <c r="J185" s="98"/>
    </row>
    <row r="186" spans="1:10" ht="72" x14ac:dyDescent="0.2">
      <c r="A186" s="4" t="s">
        <v>388</v>
      </c>
      <c r="B186" s="3" t="s">
        <v>213</v>
      </c>
      <c r="C186" s="3" t="s">
        <v>7</v>
      </c>
      <c r="D186" s="3" t="s">
        <v>15</v>
      </c>
      <c r="E186" s="3" t="s">
        <v>12</v>
      </c>
      <c r="F186" s="3"/>
      <c r="G186" s="240">
        <f t="shared" ref="G186:I186" si="85">G187</f>
        <v>25963.5</v>
      </c>
      <c r="H186" s="240">
        <f t="shared" si="85"/>
        <v>0</v>
      </c>
      <c r="I186" s="240">
        <f t="shared" si="85"/>
        <v>25963.5</v>
      </c>
      <c r="J186" s="98"/>
    </row>
    <row r="187" spans="1:10" ht="48" x14ac:dyDescent="0.2">
      <c r="A187" s="4" t="s">
        <v>11</v>
      </c>
      <c r="B187" s="3" t="s">
        <v>213</v>
      </c>
      <c r="C187" s="3" t="s">
        <v>7</v>
      </c>
      <c r="D187" s="3" t="s">
        <v>15</v>
      </c>
      <c r="E187" s="3" t="s">
        <v>10</v>
      </c>
      <c r="F187" s="3"/>
      <c r="G187" s="240">
        <f t="shared" ref="G187:I187" si="86">G188+G190</f>
        <v>25963.5</v>
      </c>
      <c r="H187" s="240">
        <f t="shared" si="86"/>
        <v>0</v>
      </c>
      <c r="I187" s="240">
        <f t="shared" si="86"/>
        <v>25963.5</v>
      </c>
      <c r="J187" s="98"/>
    </row>
    <row r="188" spans="1:10" ht="36" x14ac:dyDescent="0.2">
      <c r="A188" s="4" t="s">
        <v>17</v>
      </c>
      <c r="B188" s="3" t="s">
        <v>213</v>
      </c>
      <c r="C188" s="3" t="s">
        <v>7</v>
      </c>
      <c r="D188" s="3" t="s">
        <v>15</v>
      </c>
      <c r="E188" s="3" t="s">
        <v>16</v>
      </c>
      <c r="F188" s="3"/>
      <c r="G188" s="240">
        <f t="shared" ref="G188:I188" si="87">G189</f>
        <v>20107</v>
      </c>
      <c r="H188" s="240">
        <f t="shared" si="87"/>
        <v>0</v>
      </c>
      <c r="I188" s="240">
        <f t="shared" si="87"/>
        <v>20107</v>
      </c>
      <c r="J188" s="98"/>
    </row>
    <row r="189" spans="1:10" ht="12.75" x14ac:dyDescent="0.2">
      <c r="A189" s="4" t="s">
        <v>8</v>
      </c>
      <c r="B189" s="3" t="s">
        <v>213</v>
      </c>
      <c r="C189" s="3" t="s">
        <v>7</v>
      </c>
      <c r="D189" s="3" t="s">
        <v>15</v>
      </c>
      <c r="E189" s="3" t="s">
        <v>16</v>
      </c>
      <c r="F189" s="3" t="s">
        <v>5</v>
      </c>
      <c r="G189" s="60">
        <v>20107</v>
      </c>
      <c r="H189" s="240"/>
      <c r="I189" s="60">
        <f>G189+H189</f>
        <v>20107</v>
      </c>
      <c r="J189" s="98"/>
    </row>
    <row r="190" spans="1:10" ht="48" x14ac:dyDescent="0.2">
      <c r="A190" s="4" t="s">
        <v>345</v>
      </c>
      <c r="B190" s="3" t="s">
        <v>213</v>
      </c>
      <c r="C190" s="3" t="s">
        <v>7</v>
      </c>
      <c r="D190" s="3" t="s">
        <v>15</v>
      </c>
      <c r="E190" s="3" t="s">
        <v>14</v>
      </c>
      <c r="F190" s="3"/>
      <c r="G190" s="240">
        <f t="shared" ref="G190:I190" si="88">G191</f>
        <v>5856.5</v>
      </c>
      <c r="H190" s="240">
        <f t="shared" si="88"/>
        <v>0</v>
      </c>
      <c r="I190" s="240">
        <f t="shared" si="88"/>
        <v>5856.5</v>
      </c>
      <c r="J190" s="98"/>
    </row>
    <row r="191" spans="1:10" ht="12.75" x14ac:dyDescent="0.2">
      <c r="A191" s="4" t="s">
        <v>8</v>
      </c>
      <c r="B191" s="3" t="s">
        <v>213</v>
      </c>
      <c r="C191" s="3" t="s">
        <v>7</v>
      </c>
      <c r="D191" s="3" t="s">
        <v>15</v>
      </c>
      <c r="E191" s="3" t="s">
        <v>14</v>
      </c>
      <c r="F191" s="3" t="s">
        <v>5</v>
      </c>
      <c r="G191" s="60">
        <v>5856.5</v>
      </c>
      <c r="H191" s="240"/>
      <c r="I191" s="60">
        <f>G191+H191</f>
        <v>5856.5</v>
      </c>
      <c r="J191" s="98"/>
    </row>
    <row r="192" spans="1:10" ht="36" x14ac:dyDescent="0.2">
      <c r="A192" s="4" t="s">
        <v>13</v>
      </c>
      <c r="B192" s="3" t="s">
        <v>213</v>
      </c>
      <c r="C192" s="3" t="s">
        <v>7</v>
      </c>
      <c r="D192" s="3" t="s">
        <v>6</v>
      </c>
      <c r="E192" s="3"/>
      <c r="F192" s="3"/>
      <c r="G192" s="60">
        <f>G193</f>
        <v>10862.1</v>
      </c>
      <c r="H192" s="60">
        <f t="shared" ref="H192:I192" si="89">H193</f>
        <v>0</v>
      </c>
      <c r="I192" s="60">
        <f t="shared" si="89"/>
        <v>10862.1</v>
      </c>
      <c r="J192" s="98"/>
    </row>
    <row r="193" spans="1:10" ht="72" x14ac:dyDescent="0.2">
      <c r="A193" s="4" t="s">
        <v>388</v>
      </c>
      <c r="B193" s="3" t="s">
        <v>213</v>
      </c>
      <c r="C193" s="3" t="s">
        <v>7</v>
      </c>
      <c r="D193" s="3" t="s">
        <v>6</v>
      </c>
      <c r="E193" s="3" t="s">
        <v>12</v>
      </c>
      <c r="F193" s="3"/>
      <c r="G193" s="269">
        <f t="shared" ref="G193:I193" si="90">G194</f>
        <v>10862.1</v>
      </c>
      <c r="H193" s="269">
        <f t="shared" si="90"/>
        <v>0</v>
      </c>
      <c r="I193" s="269">
        <f t="shared" si="90"/>
        <v>10862.1</v>
      </c>
      <c r="J193" s="98"/>
    </row>
    <row r="194" spans="1:10" ht="48" x14ac:dyDescent="0.2">
      <c r="A194" s="4" t="s">
        <v>11</v>
      </c>
      <c r="B194" s="3" t="s">
        <v>213</v>
      </c>
      <c r="C194" s="3" t="s">
        <v>7</v>
      </c>
      <c r="D194" s="3" t="s">
        <v>6</v>
      </c>
      <c r="E194" s="3" t="s">
        <v>10</v>
      </c>
      <c r="F194" s="3"/>
      <c r="G194" s="269">
        <f>G197+G195</f>
        <v>10862.1</v>
      </c>
      <c r="H194" s="269">
        <f t="shared" ref="H194:I194" si="91">H197+H195</f>
        <v>0</v>
      </c>
      <c r="I194" s="269">
        <f t="shared" si="91"/>
        <v>10862.1</v>
      </c>
      <c r="J194" s="98"/>
    </row>
    <row r="195" spans="1:10" ht="24" x14ac:dyDescent="0.2">
      <c r="A195" s="7" t="s">
        <v>9</v>
      </c>
      <c r="B195" s="3" t="s">
        <v>213</v>
      </c>
      <c r="C195" s="3" t="s">
        <v>7</v>
      </c>
      <c r="D195" s="3" t="s">
        <v>6</v>
      </c>
      <c r="E195" s="3" t="s">
        <v>259</v>
      </c>
      <c r="F195" s="3"/>
      <c r="G195" s="60">
        <f>G196</f>
        <v>72</v>
      </c>
      <c r="H195" s="60">
        <f t="shared" ref="H195" si="92">H196</f>
        <v>0</v>
      </c>
      <c r="I195" s="60">
        <f t="shared" ref="I195" si="93">I196</f>
        <v>72</v>
      </c>
      <c r="J195" s="98"/>
    </row>
    <row r="196" spans="1:10" ht="12.75" x14ac:dyDescent="0.2">
      <c r="A196" s="7" t="s">
        <v>8</v>
      </c>
      <c r="B196" s="3" t="s">
        <v>213</v>
      </c>
      <c r="C196" s="3" t="s">
        <v>7</v>
      </c>
      <c r="D196" s="3" t="s">
        <v>6</v>
      </c>
      <c r="E196" s="3" t="s">
        <v>259</v>
      </c>
      <c r="F196" s="3" t="s">
        <v>5</v>
      </c>
      <c r="G196" s="60">
        <v>72</v>
      </c>
      <c r="H196" s="60"/>
      <c r="I196" s="60">
        <f>G196+H196</f>
        <v>72</v>
      </c>
      <c r="J196" s="98"/>
    </row>
    <row r="197" spans="1:10" ht="24" x14ac:dyDescent="0.2">
      <c r="A197" s="7" t="s">
        <v>545</v>
      </c>
      <c r="B197" s="3" t="s">
        <v>213</v>
      </c>
      <c r="C197" s="3" t="s">
        <v>7</v>
      </c>
      <c r="D197" s="3" t="s">
        <v>6</v>
      </c>
      <c r="E197" s="3" t="s">
        <v>576</v>
      </c>
      <c r="F197" s="3"/>
      <c r="G197" s="60">
        <f>G198</f>
        <v>10790.1</v>
      </c>
      <c r="H197" s="60">
        <f t="shared" ref="H197:I197" si="94">H198</f>
        <v>0</v>
      </c>
      <c r="I197" s="60">
        <f t="shared" si="94"/>
        <v>10790.1</v>
      </c>
      <c r="J197" s="98"/>
    </row>
    <row r="198" spans="1:10" ht="12.75" x14ac:dyDescent="0.2">
      <c r="A198" s="4" t="s">
        <v>8</v>
      </c>
      <c r="B198" s="3" t="s">
        <v>213</v>
      </c>
      <c r="C198" s="3" t="s">
        <v>7</v>
      </c>
      <c r="D198" s="3" t="s">
        <v>6</v>
      </c>
      <c r="E198" s="3" t="s">
        <v>576</v>
      </c>
      <c r="F198" s="3" t="s">
        <v>5</v>
      </c>
      <c r="G198" s="60">
        <v>10790.1</v>
      </c>
      <c r="H198" s="269"/>
      <c r="I198" s="60">
        <f>G198+H198</f>
        <v>10790.1</v>
      </c>
      <c r="J198" s="98"/>
    </row>
    <row r="199" spans="1:10" ht="24" x14ac:dyDescent="0.2">
      <c r="A199" s="54" t="s">
        <v>244</v>
      </c>
      <c r="B199" s="5" t="s">
        <v>80</v>
      </c>
      <c r="C199" s="5"/>
      <c r="D199" s="5"/>
      <c r="E199" s="5"/>
      <c r="F199" s="3"/>
      <c r="G199" s="298">
        <f>G200+G262+G288+G332+G379+G406+G432+G397+G438</f>
        <v>177271.29326999997</v>
      </c>
      <c r="H199" s="298">
        <f>H200+H262+H288+H332+H379+H406+H432+H397+H438</f>
        <v>37074.160080000009</v>
      </c>
      <c r="I199" s="298">
        <f>I200+I262+I288+I332+I379+I406+I432+I397+I438</f>
        <v>214345.45335</v>
      </c>
      <c r="J199" s="98"/>
    </row>
    <row r="200" spans="1:10" ht="12.75" x14ac:dyDescent="0.2">
      <c r="A200" s="4" t="s">
        <v>157</v>
      </c>
      <c r="B200" s="3" t="s">
        <v>80</v>
      </c>
      <c r="C200" s="3" t="s">
        <v>15</v>
      </c>
      <c r="D200" s="3"/>
      <c r="E200" s="3"/>
      <c r="F200" s="3"/>
      <c r="G200" s="60">
        <f>G201+G204+G210+G238+G234+G229</f>
        <v>18411.020109999998</v>
      </c>
      <c r="H200" s="60">
        <f>H201+H204+H210+H238+H234+H229</f>
        <v>3171.9088700000002</v>
      </c>
      <c r="I200" s="60">
        <f>I201+I204+I210+I238+I234+I229</f>
        <v>21582.928979999997</v>
      </c>
      <c r="J200" s="98"/>
    </row>
    <row r="201" spans="1:10" ht="36" x14ac:dyDescent="0.2">
      <c r="A201" s="4" t="s">
        <v>156</v>
      </c>
      <c r="B201" s="3" t="s">
        <v>80</v>
      </c>
      <c r="C201" s="3" t="s">
        <v>15</v>
      </c>
      <c r="D201" s="3" t="s">
        <v>27</v>
      </c>
      <c r="E201" s="3"/>
      <c r="F201" s="3"/>
      <c r="G201" s="60">
        <f t="shared" ref="G201:I201" si="95">G202</f>
        <v>1457.55</v>
      </c>
      <c r="H201" s="60">
        <f t="shared" si="95"/>
        <v>522.52350999999999</v>
      </c>
      <c r="I201" s="60">
        <f t="shared" si="95"/>
        <v>1980.0735099999999</v>
      </c>
      <c r="J201" s="98"/>
    </row>
    <row r="202" spans="1:10" ht="24" x14ac:dyDescent="0.2">
      <c r="A202" s="4" t="s">
        <v>155</v>
      </c>
      <c r="B202" s="3" t="s">
        <v>80</v>
      </c>
      <c r="C202" s="3" t="s">
        <v>15</v>
      </c>
      <c r="D202" s="3" t="s">
        <v>27</v>
      </c>
      <c r="E202" s="3" t="s">
        <v>154</v>
      </c>
      <c r="F202" s="3"/>
      <c r="G202" s="264">
        <f t="shared" ref="G202:I202" si="96">G203</f>
        <v>1457.55</v>
      </c>
      <c r="H202" s="264">
        <f t="shared" si="96"/>
        <v>522.52350999999999</v>
      </c>
      <c r="I202" s="264">
        <f t="shared" si="96"/>
        <v>1980.0735099999999</v>
      </c>
      <c r="J202" s="98"/>
    </row>
    <row r="203" spans="1:10" ht="60" x14ac:dyDescent="0.2">
      <c r="A203" s="4" t="s">
        <v>38</v>
      </c>
      <c r="B203" s="3" t="s">
        <v>80</v>
      </c>
      <c r="C203" s="3" t="s">
        <v>15</v>
      </c>
      <c r="D203" s="3" t="s">
        <v>27</v>
      </c>
      <c r="E203" s="3" t="s">
        <v>154</v>
      </c>
      <c r="F203" s="3" t="s">
        <v>34</v>
      </c>
      <c r="G203" s="60">
        <f>1119.47005+338.07995</f>
        <v>1457.55</v>
      </c>
      <c r="H203" s="264">
        <f>401.32374+121.19977</f>
        <v>522.52350999999999</v>
      </c>
      <c r="I203" s="60">
        <f>G203+H203</f>
        <v>1980.0735099999999</v>
      </c>
      <c r="J203" s="98"/>
    </row>
    <row r="204" spans="1:10" ht="48" x14ac:dyDescent="0.2">
      <c r="A204" s="4" t="s">
        <v>153</v>
      </c>
      <c r="B204" s="3" t="s">
        <v>80</v>
      </c>
      <c r="C204" s="3" t="s">
        <v>15</v>
      </c>
      <c r="D204" s="3" t="s">
        <v>6</v>
      </c>
      <c r="E204" s="3"/>
      <c r="F204" s="3"/>
      <c r="G204" s="60">
        <f t="shared" ref="G204" si="97">G205+G207</f>
        <v>1903.8400000000001</v>
      </c>
      <c r="H204" s="60">
        <f>H205+H207</f>
        <v>106.62651</v>
      </c>
      <c r="I204" s="60">
        <f>I205+I207</f>
        <v>2010.4665100000002</v>
      </c>
      <c r="J204" s="98"/>
    </row>
    <row r="205" spans="1:10" ht="24" x14ac:dyDescent="0.2">
      <c r="A205" s="4" t="s">
        <v>152</v>
      </c>
      <c r="B205" s="3" t="s">
        <v>80</v>
      </c>
      <c r="C205" s="3" t="s">
        <v>15</v>
      </c>
      <c r="D205" s="3" t="s">
        <v>6</v>
      </c>
      <c r="E205" s="3" t="s">
        <v>151</v>
      </c>
      <c r="F205" s="3"/>
      <c r="G205" s="264">
        <f t="shared" ref="G205:I205" si="98">G206</f>
        <v>1150.69</v>
      </c>
      <c r="H205" s="264">
        <f t="shared" si="98"/>
        <v>34.458390000000001</v>
      </c>
      <c r="I205" s="264">
        <f t="shared" si="98"/>
        <v>1185.1483900000001</v>
      </c>
      <c r="J205" s="98"/>
    </row>
    <row r="206" spans="1:10" ht="60" x14ac:dyDescent="0.2">
      <c r="A206" s="4" t="s">
        <v>38</v>
      </c>
      <c r="B206" s="3" t="s">
        <v>80</v>
      </c>
      <c r="C206" s="3" t="s">
        <v>15</v>
      </c>
      <c r="D206" s="3" t="s">
        <v>6</v>
      </c>
      <c r="E206" s="3" t="s">
        <v>151</v>
      </c>
      <c r="F206" s="3" t="s">
        <v>34</v>
      </c>
      <c r="G206" s="60">
        <f>883.78648+266.90352</f>
        <v>1150.69</v>
      </c>
      <c r="H206" s="264">
        <f>26.46574+7.99265</f>
        <v>34.458390000000001</v>
      </c>
      <c r="I206" s="60">
        <f>G206+H206</f>
        <v>1185.1483900000001</v>
      </c>
      <c r="J206" s="98"/>
    </row>
    <row r="207" spans="1:10" ht="24.75" x14ac:dyDescent="0.25">
      <c r="A207" s="4" t="s">
        <v>150</v>
      </c>
      <c r="B207" s="3">
        <v>800</v>
      </c>
      <c r="C207" s="3" t="s">
        <v>15</v>
      </c>
      <c r="D207" s="3" t="s">
        <v>6</v>
      </c>
      <c r="E207" s="3" t="s">
        <v>149</v>
      </c>
      <c r="F207" s="3"/>
      <c r="G207" s="295">
        <f>G208</f>
        <v>753.15</v>
      </c>
      <c r="H207" s="295">
        <f t="shared" ref="H207:I207" si="99">H208</f>
        <v>72.168120000000002</v>
      </c>
      <c r="I207" s="295">
        <f t="shared" si="99"/>
        <v>825.31812000000002</v>
      </c>
      <c r="J207" s="98"/>
    </row>
    <row r="208" spans="1:10" ht="36.75" x14ac:dyDescent="0.25">
      <c r="A208" s="4" t="s">
        <v>148</v>
      </c>
      <c r="B208" s="3">
        <v>800</v>
      </c>
      <c r="C208" s="3" t="s">
        <v>15</v>
      </c>
      <c r="D208" s="3" t="s">
        <v>6</v>
      </c>
      <c r="E208" s="3" t="s">
        <v>147</v>
      </c>
      <c r="F208" s="3"/>
      <c r="G208" s="295">
        <f t="shared" ref="G208:I208" si="100">G209</f>
        <v>753.15</v>
      </c>
      <c r="H208" s="295">
        <f t="shared" si="100"/>
        <v>72.168120000000002</v>
      </c>
      <c r="I208" s="295">
        <f t="shared" si="100"/>
        <v>825.31812000000002</v>
      </c>
      <c r="J208" s="98"/>
    </row>
    <row r="209" spans="1:10" ht="60.75" x14ac:dyDescent="0.25">
      <c r="A209" s="4" t="s">
        <v>38</v>
      </c>
      <c r="B209" s="3" t="s">
        <v>80</v>
      </c>
      <c r="C209" s="3" t="s">
        <v>15</v>
      </c>
      <c r="D209" s="3" t="s">
        <v>6</v>
      </c>
      <c r="E209" s="3" t="s">
        <v>147</v>
      </c>
      <c r="F209" s="3" t="s">
        <v>34</v>
      </c>
      <c r="G209" s="271">
        <f>329.60829+324+99.54171</f>
        <v>753.15</v>
      </c>
      <c r="H209" s="295">
        <f>55.42867+16.73945</f>
        <v>72.168120000000002</v>
      </c>
      <c r="I209" s="271">
        <f>G209+H209</f>
        <v>825.31812000000002</v>
      </c>
      <c r="J209" s="98"/>
    </row>
    <row r="210" spans="1:10" ht="48" x14ac:dyDescent="0.2">
      <c r="A210" s="4" t="s">
        <v>146</v>
      </c>
      <c r="B210" s="3" t="s">
        <v>80</v>
      </c>
      <c r="C210" s="3" t="s">
        <v>15</v>
      </c>
      <c r="D210" s="3" t="s">
        <v>59</v>
      </c>
      <c r="E210" s="3"/>
      <c r="F210" s="3"/>
      <c r="G210" s="264">
        <f>G211+G220+G224</f>
        <v>12932.85787</v>
      </c>
      <c r="H210" s="264">
        <f t="shared" ref="H210:I210" si="101">H211+H220+H224</f>
        <v>2490.2507900000001</v>
      </c>
      <c r="I210" s="264">
        <f t="shared" si="101"/>
        <v>15423.10866</v>
      </c>
      <c r="J210" s="98"/>
    </row>
    <row r="211" spans="1:10" ht="72" x14ac:dyDescent="0.2">
      <c r="A211" s="4" t="s">
        <v>261</v>
      </c>
      <c r="B211" s="3" t="s">
        <v>80</v>
      </c>
      <c r="C211" s="3" t="s">
        <v>15</v>
      </c>
      <c r="D211" s="3" t="s">
        <v>59</v>
      </c>
      <c r="E211" s="3" t="s">
        <v>145</v>
      </c>
      <c r="F211" s="3"/>
      <c r="G211" s="264">
        <f>G212+G218</f>
        <v>11651.85787</v>
      </c>
      <c r="H211" s="264">
        <f t="shared" ref="H211:I211" si="102">H212+H218</f>
        <v>2490.2507900000001</v>
      </c>
      <c r="I211" s="264">
        <f t="shared" si="102"/>
        <v>14142.10866</v>
      </c>
      <c r="J211" s="98"/>
    </row>
    <row r="212" spans="1:10" ht="36" x14ac:dyDescent="0.2">
      <c r="A212" s="4" t="s">
        <v>260</v>
      </c>
      <c r="B212" s="3" t="s">
        <v>80</v>
      </c>
      <c r="C212" s="3" t="s">
        <v>15</v>
      </c>
      <c r="D212" s="3" t="s">
        <v>59</v>
      </c>
      <c r="E212" s="3" t="s">
        <v>262</v>
      </c>
      <c r="F212" s="3"/>
      <c r="G212" s="264">
        <f t="shared" ref="G212" si="103">G213+G215</f>
        <v>10885.48047</v>
      </c>
      <c r="H212" s="264">
        <f>H213+H215</f>
        <v>2983.8810600000002</v>
      </c>
      <c r="I212" s="264">
        <f>I213+I215</f>
        <v>13869.36153</v>
      </c>
      <c r="J212" s="98"/>
    </row>
    <row r="213" spans="1:10" ht="24" x14ac:dyDescent="0.2">
      <c r="A213" s="4" t="s">
        <v>144</v>
      </c>
      <c r="B213" s="3" t="s">
        <v>80</v>
      </c>
      <c r="C213" s="3" t="s">
        <v>15</v>
      </c>
      <c r="D213" s="3" t="s">
        <v>59</v>
      </c>
      <c r="E213" s="3" t="s">
        <v>143</v>
      </c>
      <c r="F213" s="3"/>
      <c r="G213" s="264">
        <f t="shared" ref="G213:I213" si="104">G214</f>
        <v>10185.490470000001</v>
      </c>
      <c r="H213" s="264">
        <f t="shared" si="104"/>
        <v>2983.8810600000002</v>
      </c>
      <c r="I213" s="264">
        <f t="shared" si="104"/>
        <v>13169.37153</v>
      </c>
      <c r="J213" s="98"/>
    </row>
    <row r="214" spans="1:10" ht="60" x14ac:dyDescent="0.2">
      <c r="A214" s="4" t="s">
        <v>38</v>
      </c>
      <c r="B214" s="3" t="s">
        <v>80</v>
      </c>
      <c r="C214" s="3" t="s">
        <v>15</v>
      </c>
      <c r="D214" s="3" t="s">
        <v>59</v>
      </c>
      <c r="E214" s="3" t="s">
        <v>143</v>
      </c>
      <c r="F214" s="3" t="s">
        <v>34</v>
      </c>
      <c r="G214" s="60">
        <v>10185.490470000001</v>
      </c>
      <c r="H214" s="264">
        <f>2291.76706+692.114</f>
        <v>2983.8810600000002</v>
      </c>
      <c r="I214" s="60">
        <f>G214+H214</f>
        <v>13169.37153</v>
      </c>
      <c r="J214" s="98"/>
    </row>
    <row r="215" spans="1:10" ht="24" x14ac:dyDescent="0.2">
      <c r="A215" s="4" t="s">
        <v>142</v>
      </c>
      <c r="B215" s="3" t="s">
        <v>80</v>
      </c>
      <c r="C215" s="3" t="s">
        <v>15</v>
      </c>
      <c r="D215" s="3" t="s">
        <v>59</v>
      </c>
      <c r="E215" s="3" t="s">
        <v>141</v>
      </c>
      <c r="F215" s="3"/>
      <c r="G215" s="264">
        <f t="shared" ref="G215" si="105">G216+G217</f>
        <v>699.99</v>
      </c>
      <c r="H215" s="264">
        <f>H216+H217</f>
        <v>0</v>
      </c>
      <c r="I215" s="264">
        <f>I216+I217</f>
        <v>699.99</v>
      </c>
      <c r="J215" s="98"/>
    </row>
    <row r="216" spans="1:10" ht="24" x14ac:dyDescent="0.2">
      <c r="A216" s="4" t="s">
        <v>47</v>
      </c>
      <c r="B216" s="3" t="s">
        <v>80</v>
      </c>
      <c r="C216" s="3" t="s">
        <v>15</v>
      </c>
      <c r="D216" s="3" t="s">
        <v>59</v>
      </c>
      <c r="E216" s="3" t="s">
        <v>141</v>
      </c>
      <c r="F216" s="3" t="s">
        <v>51</v>
      </c>
      <c r="G216" s="60">
        <v>699.99</v>
      </c>
      <c r="H216" s="264"/>
      <c r="I216" s="60">
        <f>G216+H216</f>
        <v>699.99</v>
      </c>
      <c r="J216" s="98"/>
    </row>
    <row r="217" spans="1:10" ht="24" x14ac:dyDescent="0.2">
      <c r="A217" s="4" t="s">
        <v>73</v>
      </c>
      <c r="B217" s="3" t="s">
        <v>80</v>
      </c>
      <c r="C217" s="3" t="s">
        <v>15</v>
      </c>
      <c r="D217" s="3" t="s">
        <v>59</v>
      </c>
      <c r="E217" s="3" t="s">
        <v>141</v>
      </c>
      <c r="F217" s="3" t="s">
        <v>80</v>
      </c>
      <c r="G217" s="60"/>
      <c r="H217" s="264"/>
      <c r="I217" s="60">
        <f>G217+H217</f>
        <v>0</v>
      </c>
      <c r="J217" s="98"/>
    </row>
    <row r="218" spans="1:10" ht="24" x14ac:dyDescent="0.2">
      <c r="A218" s="4" t="s">
        <v>545</v>
      </c>
      <c r="B218" s="3" t="s">
        <v>80</v>
      </c>
      <c r="C218" s="3" t="s">
        <v>15</v>
      </c>
      <c r="D218" s="3" t="s">
        <v>59</v>
      </c>
      <c r="E218" s="3" t="s">
        <v>557</v>
      </c>
      <c r="F218" s="3"/>
      <c r="G218" s="60">
        <f>G219</f>
        <v>766.37739999999997</v>
      </c>
      <c r="H218" s="60">
        <f t="shared" ref="H218:I218" si="106">H219</f>
        <v>-493.63027</v>
      </c>
      <c r="I218" s="60">
        <f t="shared" si="106"/>
        <v>272.74712999999997</v>
      </c>
      <c r="J218" s="98"/>
    </row>
    <row r="219" spans="1:10" ht="60" x14ac:dyDescent="0.2">
      <c r="A219" s="4" t="s">
        <v>38</v>
      </c>
      <c r="B219" s="3" t="s">
        <v>80</v>
      </c>
      <c r="C219" s="3" t="s">
        <v>15</v>
      </c>
      <c r="D219" s="3" t="s">
        <v>59</v>
      </c>
      <c r="E219" s="3" t="s">
        <v>557</v>
      </c>
      <c r="F219" s="3" t="s">
        <v>34</v>
      </c>
      <c r="G219" s="60">
        <v>766.37739999999997</v>
      </c>
      <c r="H219" s="264">
        <f>-379.13232-114.49795</f>
        <v>-493.63027</v>
      </c>
      <c r="I219" s="60">
        <f>G219+H219</f>
        <v>272.74712999999997</v>
      </c>
      <c r="J219" s="98"/>
    </row>
    <row r="220" spans="1:10" ht="63.75" x14ac:dyDescent="0.2">
      <c r="A220" s="8" t="s">
        <v>263</v>
      </c>
      <c r="B220" s="3" t="s">
        <v>80</v>
      </c>
      <c r="C220" s="3" t="s">
        <v>15</v>
      </c>
      <c r="D220" s="3" t="s">
        <v>59</v>
      </c>
      <c r="E220" s="3" t="s">
        <v>57</v>
      </c>
      <c r="F220" s="3"/>
      <c r="G220" s="268">
        <f t="shared" ref="G220:I221" si="107">G221</f>
        <v>72</v>
      </c>
      <c r="H220" s="268">
        <f t="shared" si="107"/>
        <v>0</v>
      </c>
      <c r="I220" s="268">
        <f t="shared" si="107"/>
        <v>72</v>
      </c>
      <c r="J220" s="98"/>
    </row>
    <row r="221" spans="1:10" ht="38.25" x14ac:dyDescent="0.2">
      <c r="A221" s="8" t="s">
        <v>55</v>
      </c>
      <c r="B221" s="3" t="s">
        <v>80</v>
      </c>
      <c r="C221" s="3" t="s">
        <v>15</v>
      </c>
      <c r="D221" s="3" t="s">
        <v>59</v>
      </c>
      <c r="E221" s="3" t="s">
        <v>264</v>
      </c>
      <c r="F221" s="3"/>
      <c r="G221" s="268">
        <f t="shared" si="107"/>
        <v>72</v>
      </c>
      <c r="H221" s="268">
        <f t="shared" si="107"/>
        <v>0</v>
      </c>
      <c r="I221" s="268">
        <f t="shared" si="107"/>
        <v>72</v>
      </c>
      <c r="J221" s="98"/>
    </row>
    <row r="222" spans="1:10" ht="63.75" x14ac:dyDescent="0.2">
      <c r="A222" s="8" t="s">
        <v>337</v>
      </c>
      <c r="B222" s="3" t="s">
        <v>80</v>
      </c>
      <c r="C222" s="3" t="s">
        <v>15</v>
      </c>
      <c r="D222" s="3" t="s">
        <v>59</v>
      </c>
      <c r="E222" s="3" t="s">
        <v>56</v>
      </c>
      <c r="F222" s="3"/>
      <c r="G222" s="268">
        <f t="shared" ref="G222:I222" si="108">G223</f>
        <v>72</v>
      </c>
      <c r="H222" s="268">
        <f t="shared" si="108"/>
        <v>0</v>
      </c>
      <c r="I222" s="268">
        <f t="shared" si="108"/>
        <v>72</v>
      </c>
      <c r="J222" s="98"/>
    </row>
    <row r="223" spans="1:10" ht="60" x14ac:dyDescent="0.2">
      <c r="A223" s="4" t="s">
        <v>38</v>
      </c>
      <c r="B223" s="3" t="s">
        <v>80</v>
      </c>
      <c r="C223" s="3" t="s">
        <v>15</v>
      </c>
      <c r="D223" s="3" t="s">
        <v>59</v>
      </c>
      <c r="E223" s="3" t="s">
        <v>56</v>
      </c>
      <c r="F223" s="3" t="s">
        <v>34</v>
      </c>
      <c r="G223" s="60">
        <f>55.29954+16.70046</f>
        <v>72</v>
      </c>
      <c r="H223" s="268"/>
      <c r="I223" s="60">
        <f>G223+H223</f>
        <v>72</v>
      </c>
      <c r="J223" s="98"/>
    </row>
    <row r="224" spans="1:10" ht="60.75" x14ac:dyDescent="0.25">
      <c r="A224" s="4" t="s">
        <v>390</v>
      </c>
      <c r="B224" s="3" t="s">
        <v>80</v>
      </c>
      <c r="C224" s="3" t="s">
        <v>15</v>
      </c>
      <c r="D224" s="3" t="s">
        <v>59</v>
      </c>
      <c r="E224" s="3" t="s">
        <v>95</v>
      </c>
      <c r="F224" s="3"/>
      <c r="G224" s="276">
        <f>G225</f>
        <v>1209</v>
      </c>
      <c r="H224" s="276">
        <f t="shared" ref="H224:I224" si="109">H225</f>
        <v>0</v>
      </c>
      <c r="I224" s="276">
        <f t="shared" si="109"/>
        <v>1209</v>
      </c>
      <c r="J224" s="98"/>
    </row>
    <row r="225" spans="1:10" ht="24.75" x14ac:dyDescent="0.25">
      <c r="A225" s="4" t="s">
        <v>265</v>
      </c>
      <c r="B225" s="3" t="s">
        <v>80</v>
      </c>
      <c r="C225" s="3" t="s">
        <v>15</v>
      </c>
      <c r="D225" s="3" t="s">
        <v>59</v>
      </c>
      <c r="E225" s="3" t="s">
        <v>391</v>
      </c>
      <c r="F225" s="3"/>
      <c r="G225" s="276">
        <f t="shared" ref="G225:I225" si="110">G226</f>
        <v>1209</v>
      </c>
      <c r="H225" s="276">
        <f t="shared" si="110"/>
        <v>0</v>
      </c>
      <c r="I225" s="276">
        <f t="shared" si="110"/>
        <v>1209</v>
      </c>
      <c r="J225" s="98"/>
    </row>
    <row r="226" spans="1:10" ht="48.75" x14ac:dyDescent="0.25">
      <c r="A226" s="4" t="s">
        <v>266</v>
      </c>
      <c r="B226" s="3" t="s">
        <v>80</v>
      </c>
      <c r="C226" s="3" t="s">
        <v>15</v>
      </c>
      <c r="D226" s="3" t="s">
        <v>59</v>
      </c>
      <c r="E226" s="3" t="s">
        <v>392</v>
      </c>
      <c r="F226" s="3"/>
      <c r="G226" s="276">
        <f t="shared" ref="G226:I226" si="111">G227+G228</f>
        <v>1209</v>
      </c>
      <c r="H226" s="276">
        <f t="shared" si="111"/>
        <v>0</v>
      </c>
      <c r="I226" s="276">
        <f t="shared" si="111"/>
        <v>1209</v>
      </c>
      <c r="J226" s="98"/>
    </row>
    <row r="227" spans="1:10" ht="60.75" x14ac:dyDescent="0.25">
      <c r="A227" s="4" t="s">
        <v>38</v>
      </c>
      <c r="B227" s="3" t="s">
        <v>80</v>
      </c>
      <c r="C227" s="3" t="s">
        <v>15</v>
      </c>
      <c r="D227" s="3" t="s">
        <v>59</v>
      </c>
      <c r="E227" s="3" t="s">
        <v>392</v>
      </c>
      <c r="F227" s="3" t="s">
        <v>34</v>
      </c>
      <c r="G227" s="271">
        <f>774.9616+234.0384</f>
        <v>1009</v>
      </c>
      <c r="H227" s="276">
        <f>189.504+57.23021-189.504-57.23021</f>
        <v>0</v>
      </c>
      <c r="I227" s="271">
        <f>G227+H227</f>
        <v>1009</v>
      </c>
      <c r="J227" s="98"/>
    </row>
    <row r="228" spans="1:10" ht="24.75" x14ac:dyDescent="0.25">
      <c r="A228" s="4" t="s">
        <v>47</v>
      </c>
      <c r="B228" s="3" t="s">
        <v>80</v>
      </c>
      <c r="C228" s="3" t="s">
        <v>15</v>
      </c>
      <c r="D228" s="3" t="s">
        <v>59</v>
      </c>
      <c r="E228" s="3" t="s">
        <v>392</v>
      </c>
      <c r="F228" s="3" t="s">
        <v>51</v>
      </c>
      <c r="G228" s="271">
        <v>200</v>
      </c>
      <c r="H228" s="276"/>
      <c r="I228" s="271">
        <f>G228+H228</f>
        <v>200</v>
      </c>
      <c r="J228" s="98"/>
    </row>
    <row r="229" spans="1:10" ht="12.75" x14ac:dyDescent="0.2">
      <c r="A229" s="4" t="s">
        <v>202</v>
      </c>
      <c r="B229" s="3" t="s">
        <v>80</v>
      </c>
      <c r="C229" s="3" t="s">
        <v>15</v>
      </c>
      <c r="D229" s="3" t="s">
        <v>36</v>
      </c>
      <c r="E229" s="3"/>
      <c r="F229" s="3"/>
      <c r="G229" s="268">
        <f>G230</f>
        <v>9.6</v>
      </c>
      <c r="H229" s="268">
        <f t="shared" ref="H229:I229" si="112">H230</f>
        <v>0</v>
      </c>
      <c r="I229" s="268">
        <f t="shared" si="112"/>
        <v>9.6</v>
      </c>
      <c r="J229" s="98"/>
    </row>
    <row r="230" spans="1:10" ht="72" x14ac:dyDescent="0.2">
      <c r="A230" s="4" t="s">
        <v>388</v>
      </c>
      <c r="B230" s="3" t="s">
        <v>80</v>
      </c>
      <c r="C230" s="3" t="s">
        <v>15</v>
      </c>
      <c r="D230" s="3" t="s">
        <v>36</v>
      </c>
      <c r="E230" s="3" t="s">
        <v>12</v>
      </c>
      <c r="F230" s="3"/>
      <c r="G230" s="265">
        <f t="shared" ref="G230:I232" si="113">G231</f>
        <v>9.6</v>
      </c>
      <c r="H230" s="265">
        <f t="shared" si="113"/>
        <v>0</v>
      </c>
      <c r="I230" s="265">
        <f t="shared" si="113"/>
        <v>9.6</v>
      </c>
      <c r="J230" s="98"/>
    </row>
    <row r="231" spans="1:10" ht="48" x14ac:dyDescent="0.2">
      <c r="A231" s="4" t="s">
        <v>395</v>
      </c>
      <c r="B231" s="3" t="s">
        <v>80</v>
      </c>
      <c r="C231" s="3" t="s">
        <v>15</v>
      </c>
      <c r="D231" s="3" t="s">
        <v>36</v>
      </c>
      <c r="E231" s="3" t="s">
        <v>10</v>
      </c>
      <c r="F231" s="3"/>
      <c r="G231" s="265">
        <f t="shared" si="113"/>
        <v>9.6</v>
      </c>
      <c r="H231" s="265">
        <f t="shared" si="113"/>
        <v>0</v>
      </c>
      <c r="I231" s="265">
        <f t="shared" si="113"/>
        <v>9.6</v>
      </c>
      <c r="J231" s="98"/>
    </row>
    <row r="232" spans="1:10" ht="48" x14ac:dyDescent="0.2">
      <c r="A232" s="4" t="s">
        <v>124</v>
      </c>
      <c r="B232" s="3" t="s">
        <v>80</v>
      </c>
      <c r="C232" s="3" t="s">
        <v>15</v>
      </c>
      <c r="D232" s="3" t="s">
        <v>36</v>
      </c>
      <c r="E232" s="3" t="s">
        <v>522</v>
      </c>
      <c r="F232" s="3"/>
      <c r="G232" s="265">
        <f t="shared" si="113"/>
        <v>9.6</v>
      </c>
      <c r="H232" s="265">
        <f t="shared" si="113"/>
        <v>0</v>
      </c>
      <c r="I232" s="265">
        <f t="shared" si="113"/>
        <v>9.6</v>
      </c>
      <c r="J232" s="98"/>
    </row>
    <row r="233" spans="1:10" ht="24" x14ac:dyDescent="0.2">
      <c r="A233" s="4" t="s">
        <v>47</v>
      </c>
      <c r="B233" s="3" t="s">
        <v>80</v>
      </c>
      <c r="C233" s="3" t="s">
        <v>15</v>
      </c>
      <c r="D233" s="3" t="s">
        <v>36</v>
      </c>
      <c r="E233" s="3" t="s">
        <v>522</v>
      </c>
      <c r="F233" s="3" t="s">
        <v>51</v>
      </c>
      <c r="G233" s="60">
        <v>9.6</v>
      </c>
      <c r="H233" s="265"/>
      <c r="I233" s="60">
        <f>G233+H233</f>
        <v>9.6</v>
      </c>
      <c r="J233" s="98"/>
    </row>
    <row r="234" spans="1:10" ht="36" x14ac:dyDescent="0.2">
      <c r="A234" s="4" t="s">
        <v>140</v>
      </c>
      <c r="B234" s="3" t="s">
        <v>80</v>
      </c>
      <c r="C234" s="3" t="s">
        <v>15</v>
      </c>
      <c r="D234" s="3" t="s">
        <v>53</v>
      </c>
      <c r="E234" s="3"/>
      <c r="F234" s="3"/>
      <c r="G234" s="60">
        <f t="shared" ref="G234:I235" si="114">G235</f>
        <v>959.16000000000008</v>
      </c>
      <c r="H234" s="60">
        <f t="shared" si="114"/>
        <v>52.50806</v>
      </c>
      <c r="I234" s="60">
        <f t="shared" si="114"/>
        <v>1011.6680600000001</v>
      </c>
      <c r="J234" s="98"/>
    </row>
    <row r="235" spans="1:10" ht="36" x14ac:dyDescent="0.2">
      <c r="A235" s="4" t="s">
        <v>134</v>
      </c>
      <c r="B235" s="3" t="s">
        <v>80</v>
      </c>
      <c r="C235" s="3" t="s">
        <v>15</v>
      </c>
      <c r="D235" s="3" t="s">
        <v>53</v>
      </c>
      <c r="E235" s="3" t="s">
        <v>133</v>
      </c>
      <c r="F235" s="3"/>
      <c r="G235" s="265">
        <f>G236</f>
        <v>959.16000000000008</v>
      </c>
      <c r="H235" s="265">
        <f t="shared" si="114"/>
        <v>52.50806</v>
      </c>
      <c r="I235" s="265">
        <f t="shared" si="114"/>
        <v>1011.6680600000001</v>
      </c>
      <c r="J235" s="98"/>
    </row>
    <row r="236" spans="1:10" ht="36" x14ac:dyDescent="0.2">
      <c r="A236" s="4" t="s">
        <v>132</v>
      </c>
      <c r="B236" s="3" t="s">
        <v>80</v>
      </c>
      <c r="C236" s="3" t="s">
        <v>15</v>
      </c>
      <c r="D236" s="3" t="s">
        <v>53</v>
      </c>
      <c r="E236" s="3" t="s">
        <v>131</v>
      </c>
      <c r="F236" s="3"/>
      <c r="G236" s="265">
        <f t="shared" ref="G236:I236" si="115">G237</f>
        <v>959.16000000000008</v>
      </c>
      <c r="H236" s="265">
        <f t="shared" si="115"/>
        <v>52.50806</v>
      </c>
      <c r="I236" s="265">
        <f t="shared" si="115"/>
        <v>1011.6680600000001</v>
      </c>
      <c r="J236" s="98"/>
    </row>
    <row r="237" spans="1:10" ht="60" x14ac:dyDescent="0.2">
      <c r="A237" s="4" t="s">
        <v>38</v>
      </c>
      <c r="B237" s="3" t="s">
        <v>80</v>
      </c>
      <c r="C237" s="3" t="s">
        <v>15</v>
      </c>
      <c r="D237" s="3" t="s">
        <v>53</v>
      </c>
      <c r="E237" s="3" t="s">
        <v>131</v>
      </c>
      <c r="F237" s="3" t="s">
        <v>34</v>
      </c>
      <c r="G237" s="60">
        <f>736.68203+222.47797</f>
        <v>959.16000000000008</v>
      </c>
      <c r="H237" s="265">
        <f>40.32877+12.17929</f>
        <v>52.50806</v>
      </c>
      <c r="I237" s="60">
        <f>G237+H237</f>
        <v>1011.6680600000001</v>
      </c>
      <c r="J237" s="98"/>
    </row>
    <row r="238" spans="1:10" ht="12.75" x14ac:dyDescent="0.2">
      <c r="A238" s="4" t="s">
        <v>128</v>
      </c>
      <c r="B238" s="3" t="s">
        <v>80</v>
      </c>
      <c r="C238" s="3" t="s">
        <v>15</v>
      </c>
      <c r="D238" s="3" t="s">
        <v>24</v>
      </c>
      <c r="E238" s="3"/>
      <c r="F238" s="3"/>
      <c r="G238" s="60">
        <f>G239+G243+G248+G258+G254</f>
        <v>1148.01224</v>
      </c>
      <c r="H238" s="60">
        <f t="shared" ref="H238:I238" si="116">H239+H243+H248+H258+H254</f>
        <v>0</v>
      </c>
      <c r="I238" s="60">
        <f t="shared" si="116"/>
        <v>1148.01224</v>
      </c>
      <c r="J238" s="98"/>
    </row>
    <row r="239" spans="1:10" ht="84" x14ac:dyDescent="0.2">
      <c r="A239" s="7" t="s">
        <v>269</v>
      </c>
      <c r="B239" s="3" t="s">
        <v>80</v>
      </c>
      <c r="C239" s="3" t="s">
        <v>15</v>
      </c>
      <c r="D239" s="3" t="s">
        <v>24</v>
      </c>
      <c r="E239" s="3" t="s">
        <v>31</v>
      </c>
      <c r="F239" s="3"/>
      <c r="G239" s="265">
        <f t="shared" ref="G239:I239" si="117">G240</f>
        <v>55.7</v>
      </c>
      <c r="H239" s="265">
        <f t="shared" si="117"/>
        <v>0</v>
      </c>
      <c r="I239" s="265">
        <f t="shared" si="117"/>
        <v>55.7</v>
      </c>
      <c r="J239" s="98"/>
    </row>
    <row r="240" spans="1:10" ht="60" x14ac:dyDescent="0.2">
      <c r="A240" s="4" t="s">
        <v>270</v>
      </c>
      <c r="B240" s="3" t="s">
        <v>80</v>
      </c>
      <c r="C240" s="3" t="s">
        <v>15</v>
      </c>
      <c r="D240" s="3" t="s">
        <v>24</v>
      </c>
      <c r="E240" s="3" t="s">
        <v>271</v>
      </c>
      <c r="F240" s="3"/>
      <c r="G240" s="265">
        <f t="shared" ref="G240:I240" si="118">G241</f>
        <v>55.7</v>
      </c>
      <c r="H240" s="265">
        <f t="shared" si="118"/>
        <v>0</v>
      </c>
      <c r="I240" s="265">
        <f t="shared" si="118"/>
        <v>55.7</v>
      </c>
      <c r="J240" s="98"/>
    </row>
    <row r="241" spans="1:10" ht="36" x14ac:dyDescent="0.2">
      <c r="A241" s="4" t="s">
        <v>127</v>
      </c>
      <c r="B241" s="3" t="s">
        <v>80</v>
      </c>
      <c r="C241" s="3" t="s">
        <v>15</v>
      </c>
      <c r="D241" s="3" t="s">
        <v>24</v>
      </c>
      <c r="E241" s="3" t="s">
        <v>126</v>
      </c>
      <c r="F241" s="3"/>
      <c r="G241" s="265">
        <f t="shared" ref="G241:I241" si="119">G242</f>
        <v>55.7</v>
      </c>
      <c r="H241" s="265">
        <f t="shared" si="119"/>
        <v>0</v>
      </c>
      <c r="I241" s="265">
        <f t="shared" si="119"/>
        <v>55.7</v>
      </c>
      <c r="J241" s="98"/>
    </row>
    <row r="242" spans="1:10" ht="24" x14ac:dyDescent="0.2">
      <c r="A242" s="4" t="s">
        <v>47</v>
      </c>
      <c r="B242" s="3" t="s">
        <v>80</v>
      </c>
      <c r="C242" s="3" t="s">
        <v>15</v>
      </c>
      <c r="D242" s="3" t="s">
        <v>24</v>
      </c>
      <c r="E242" s="3" t="s">
        <v>126</v>
      </c>
      <c r="F242" s="3">
        <v>200</v>
      </c>
      <c r="G242" s="60">
        <v>55.7</v>
      </c>
      <c r="H242" s="265"/>
      <c r="I242" s="60">
        <f>G242+H242</f>
        <v>55.7</v>
      </c>
      <c r="J242" s="98"/>
    </row>
    <row r="243" spans="1:10" ht="48" x14ac:dyDescent="0.2">
      <c r="A243" s="4" t="s">
        <v>393</v>
      </c>
      <c r="B243" s="3" t="s">
        <v>80</v>
      </c>
      <c r="C243" s="3" t="s">
        <v>15</v>
      </c>
      <c r="D243" s="3" t="s">
        <v>24</v>
      </c>
      <c r="E243" s="3" t="s">
        <v>41</v>
      </c>
      <c r="F243" s="3"/>
      <c r="G243" s="265">
        <f t="shared" ref="G243:I244" si="120">G244</f>
        <v>769.50000000000011</v>
      </c>
      <c r="H243" s="265">
        <f t="shared" si="120"/>
        <v>0</v>
      </c>
      <c r="I243" s="265">
        <f t="shared" si="120"/>
        <v>769.50000000000011</v>
      </c>
      <c r="J243" s="98"/>
    </row>
    <row r="244" spans="1:10" ht="48" x14ac:dyDescent="0.2">
      <c r="A244" s="4" t="s">
        <v>329</v>
      </c>
      <c r="B244" s="3" t="s">
        <v>80</v>
      </c>
      <c r="C244" s="3" t="s">
        <v>15</v>
      </c>
      <c r="D244" s="3" t="s">
        <v>24</v>
      </c>
      <c r="E244" s="3" t="s">
        <v>272</v>
      </c>
      <c r="F244" s="3"/>
      <c r="G244" s="265">
        <f t="shared" si="120"/>
        <v>769.50000000000011</v>
      </c>
      <c r="H244" s="265">
        <f t="shared" si="120"/>
        <v>0</v>
      </c>
      <c r="I244" s="265">
        <f t="shared" si="120"/>
        <v>769.50000000000011</v>
      </c>
      <c r="J244" s="98"/>
    </row>
    <row r="245" spans="1:10" ht="84" x14ac:dyDescent="0.2">
      <c r="A245" s="4" t="s">
        <v>394</v>
      </c>
      <c r="B245" s="3" t="s">
        <v>80</v>
      </c>
      <c r="C245" s="3" t="s">
        <v>15</v>
      </c>
      <c r="D245" s="3" t="s">
        <v>24</v>
      </c>
      <c r="E245" s="3" t="s">
        <v>125</v>
      </c>
      <c r="F245" s="3"/>
      <c r="G245" s="265">
        <f t="shared" ref="G245:I245" si="121">G246+G247</f>
        <v>769.50000000000011</v>
      </c>
      <c r="H245" s="265">
        <f t="shared" si="121"/>
        <v>0</v>
      </c>
      <c r="I245" s="265">
        <f t="shared" si="121"/>
        <v>769.50000000000011</v>
      </c>
      <c r="J245" s="98"/>
    </row>
    <row r="246" spans="1:10" ht="60" x14ac:dyDescent="0.2">
      <c r="A246" s="4" t="s">
        <v>38</v>
      </c>
      <c r="B246" s="3" t="s">
        <v>80</v>
      </c>
      <c r="C246" s="3" t="s">
        <v>15</v>
      </c>
      <c r="D246" s="3" t="s">
        <v>24</v>
      </c>
      <c r="E246" s="3" t="s">
        <v>125</v>
      </c>
      <c r="F246" s="3" t="s">
        <v>34</v>
      </c>
      <c r="G246" s="60">
        <f>423.23502+4.848+127.81698</f>
        <v>555.90000000000009</v>
      </c>
      <c r="H246" s="265"/>
      <c r="I246" s="60">
        <f>G246+H246</f>
        <v>555.90000000000009</v>
      </c>
      <c r="J246" s="98"/>
    </row>
    <row r="247" spans="1:10" ht="24" x14ac:dyDescent="0.2">
      <c r="A247" s="4" t="s">
        <v>47</v>
      </c>
      <c r="B247" s="3" t="s">
        <v>80</v>
      </c>
      <c r="C247" s="3" t="s">
        <v>15</v>
      </c>
      <c r="D247" s="3" t="s">
        <v>24</v>
      </c>
      <c r="E247" s="3" t="s">
        <v>125</v>
      </c>
      <c r="F247" s="3" t="s">
        <v>51</v>
      </c>
      <c r="G247" s="60">
        <v>213.6</v>
      </c>
      <c r="H247" s="265"/>
      <c r="I247" s="60">
        <f>G247+H247</f>
        <v>213.6</v>
      </c>
      <c r="J247" s="98"/>
    </row>
    <row r="248" spans="1:10" ht="36" x14ac:dyDescent="0.2">
      <c r="A248" s="4" t="s">
        <v>387</v>
      </c>
      <c r="B248" s="3" t="s">
        <v>80</v>
      </c>
      <c r="C248" s="3" t="s">
        <v>15</v>
      </c>
      <c r="D248" s="3" t="s">
        <v>24</v>
      </c>
      <c r="E248" s="3" t="s">
        <v>12</v>
      </c>
      <c r="F248" s="3"/>
      <c r="G248" s="265">
        <f t="shared" ref="G248:I248" si="122">G249</f>
        <v>277.2</v>
      </c>
      <c r="H248" s="265">
        <f t="shared" si="122"/>
        <v>0</v>
      </c>
      <c r="I248" s="265">
        <f t="shared" si="122"/>
        <v>277.2</v>
      </c>
      <c r="J248" s="98"/>
    </row>
    <row r="249" spans="1:10" ht="48" x14ac:dyDescent="0.2">
      <c r="A249" s="4" t="s">
        <v>395</v>
      </c>
      <c r="B249" s="3" t="s">
        <v>80</v>
      </c>
      <c r="C249" s="3" t="s">
        <v>15</v>
      </c>
      <c r="D249" s="3" t="s">
        <v>24</v>
      </c>
      <c r="E249" s="3" t="s">
        <v>10</v>
      </c>
      <c r="F249" s="3"/>
      <c r="G249" s="265">
        <f t="shared" ref="G249:I249" si="123">G250+G252</f>
        <v>277.2</v>
      </c>
      <c r="H249" s="265">
        <f t="shared" si="123"/>
        <v>0</v>
      </c>
      <c r="I249" s="265">
        <f t="shared" si="123"/>
        <v>277.2</v>
      </c>
      <c r="J249" s="98"/>
    </row>
    <row r="250" spans="1:10" ht="48" x14ac:dyDescent="0.2">
      <c r="A250" s="4" t="s">
        <v>338</v>
      </c>
      <c r="B250" s="3" t="s">
        <v>80</v>
      </c>
      <c r="C250" s="3" t="s">
        <v>15</v>
      </c>
      <c r="D250" s="3" t="s">
        <v>24</v>
      </c>
      <c r="E250" s="3" t="s">
        <v>396</v>
      </c>
      <c r="F250" s="3"/>
      <c r="G250" s="265">
        <f t="shared" ref="G250:I250" si="124">G251</f>
        <v>52.1</v>
      </c>
      <c r="H250" s="265">
        <f t="shared" si="124"/>
        <v>0</v>
      </c>
      <c r="I250" s="265">
        <f t="shared" si="124"/>
        <v>52.1</v>
      </c>
      <c r="J250" s="98"/>
    </row>
    <row r="251" spans="1:10" ht="24" x14ac:dyDescent="0.2">
      <c r="A251" s="4" t="s">
        <v>47</v>
      </c>
      <c r="B251" s="3" t="s">
        <v>80</v>
      </c>
      <c r="C251" s="3" t="s">
        <v>15</v>
      </c>
      <c r="D251" s="3" t="s">
        <v>24</v>
      </c>
      <c r="E251" s="3" t="s">
        <v>396</v>
      </c>
      <c r="F251" s="3" t="s">
        <v>51</v>
      </c>
      <c r="G251" s="60">
        <v>52.1</v>
      </c>
      <c r="H251" s="265"/>
      <c r="I251" s="60">
        <f>G251+H251</f>
        <v>52.1</v>
      </c>
      <c r="J251" s="98"/>
    </row>
    <row r="252" spans="1:10" ht="72" x14ac:dyDescent="0.2">
      <c r="A252" s="4" t="s">
        <v>339</v>
      </c>
      <c r="B252" s="3" t="s">
        <v>80</v>
      </c>
      <c r="C252" s="3" t="s">
        <v>15</v>
      </c>
      <c r="D252" s="3" t="s">
        <v>24</v>
      </c>
      <c r="E252" s="3" t="s">
        <v>397</v>
      </c>
      <c r="F252" s="3"/>
      <c r="G252" s="265">
        <f t="shared" ref="G252:I252" si="125">G253</f>
        <v>225.1</v>
      </c>
      <c r="H252" s="265">
        <f t="shared" si="125"/>
        <v>0</v>
      </c>
      <c r="I252" s="265">
        <f t="shared" si="125"/>
        <v>225.1</v>
      </c>
      <c r="J252" s="98"/>
    </row>
    <row r="253" spans="1:10" ht="60" x14ac:dyDescent="0.2">
      <c r="A253" s="4" t="s">
        <v>38</v>
      </c>
      <c r="B253" s="3" t="s">
        <v>80</v>
      </c>
      <c r="C253" s="3" t="s">
        <v>15</v>
      </c>
      <c r="D253" s="3" t="s">
        <v>24</v>
      </c>
      <c r="E253" s="3" t="s">
        <v>397</v>
      </c>
      <c r="F253" s="3" t="s">
        <v>34</v>
      </c>
      <c r="G253" s="60">
        <f>172.88786+52.21214</f>
        <v>225.1</v>
      </c>
      <c r="H253" s="265"/>
      <c r="I253" s="60">
        <f>G253+H253</f>
        <v>225.1</v>
      </c>
      <c r="J253" s="98"/>
    </row>
    <row r="254" spans="1:10" ht="60.75" x14ac:dyDescent="0.25">
      <c r="A254" s="4" t="s">
        <v>390</v>
      </c>
      <c r="B254" s="3" t="s">
        <v>80</v>
      </c>
      <c r="C254" s="3" t="s">
        <v>15</v>
      </c>
      <c r="D254" s="3" t="s">
        <v>24</v>
      </c>
      <c r="E254" s="3" t="s">
        <v>95</v>
      </c>
      <c r="F254" s="3"/>
      <c r="G254" s="276">
        <f>G255</f>
        <v>30.61224</v>
      </c>
      <c r="H254" s="276">
        <f t="shared" ref="H254" si="126">H255</f>
        <v>0</v>
      </c>
      <c r="I254" s="276">
        <f t="shared" ref="I254" si="127">I255</f>
        <v>30.61224</v>
      </c>
      <c r="J254" s="98"/>
    </row>
    <row r="255" spans="1:10" ht="72.75" x14ac:dyDescent="0.25">
      <c r="A255" s="4" t="s">
        <v>274</v>
      </c>
      <c r="B255" s="3" t="s">
        <v>80</v>
      </c>
      <c r="C255" s="3" t="s">
        <v>15</v>
      </c>
      <c r="D255" s="3" t="s">
        <v>24</v>
      </c>
      <c r="E255" s="3" t="s">
        <v>275</v>
      </c>
      <c r="F255" s="3"/>
      <c r="G255" s="272">
        <f t="shared" ref="G255:I256" si="128">G256</f>
        <v>30.61224</v>
      </c>
      <c r="H255" s="272">
        <f t="shared" si="128"/>
        <v>0</v>
      </c>
      <c r="I255" s="272">
        <f t="shared" si="128"/>
        <v>30.61224</v>
      </c>
      <c r="J255" s="98"/>
    </row>
    <row r="256" spans="1:10" ht="48.75" x14ac:dyDescent="0.25">
      <c r="A256" s="4" t="s">
        <v>237</v>
      </c>
      <c r="B256" s="3" t="s">
        <v>80</v>
      </c>
      <c r="C256" s="3" t="s">
        <v>15</v>
      </c>
      <c r="D256" s="3" t="s">
        <v>24</v>
      </c>
      <c r="E256" s="3" t="s">
        <v>400</v>
      </c>
      <c r="F256" s="3"/>
      <c r="G256" s="272">
        <f>G257</f>
        <v>30.61224</v>
      </c>
      <c r="H256" s="272">
        <f t="shared" si="128"/>
        <v>0</v>
      </c>
      <c r="I256" s="272">
        <f t="shared" si="128"/>
        <v>30.61224</v>
      </c>
      <c r="J256" s="98"/>
    </row>
    <row r="257" spans="1:10" ht="24.75" x14ac:dyDescent="0.25">
      <c r="A257" s="4" t="s">
        <v>45</v>
      </c>
      <c r="B257" s="3" t="s">
        <v>80</v>
      </c>
      <c r="C257" s="3" t="s">
        <v>15</v>
      </c>
      <c r="D257" s="3" t="s">
        <v>24</v>
      </c>
      <c r="E257" s="3" t="s">
        <v>400</v>
      </c>
      <c r="F257" s="3" t="s">
        <v>43</v>
      </c>
      <c r="G257" s="271">
        <v>30.61224</v>
      </c>
      <c r="H257" s="272"/>
      <c r="I257" s="271">
        <f>G257+H257</f>
        <v>30.61224</v>
      </c>
      <c r="J257" s="98"/>
    </row>
    <row r="258" spans="1:10" ht="60.75" x14ac:dyDescent="0.25">
      <c r="A258" s="4" t="s">
        <v>398</v>
      </c>
      <c r="B258" s="3" t="s">
        <v>80</v>
      </c>
      <c r="C258" s="3" t="s">
        <v>15</v>
      </c>
      <c r="D258" s="3" t="s">
        <v>24</v>
      </c>
      <c r="E258" s="3" t="s">
        <v>433</v>
      </c>
      <c r="F258" s="3"/>
      <c r="G258" s="272">
        <f t="shared" ref="G258:I260" si="129">G259</f>
        <v>15</v>
      </c>
      <c r="H258" s="272">
        <f t="shared" si="129"/>
        <v>0</v>
      </c>
      <c r="I258" s="272">
        <f t="shared" si="129"/>
        <v>15</v>
      </c>
      <c r="J258" s="98"/>
    </row>
    <row r="259" spans="1:10" ht="36.75" x14ac:dyDescent="0.25">
      <c r="A259" s="4" t="s">
        <v>399</v>
      </c>
      <c r="B259" s="3" t="s">
        <v>80</v>
      </c>
      <c r="C259" s="3" t="s">
        <v>15</v>
      </c>
      <c r="D259" s="3" t="s">
        <v>24</v>
      </c>
      <c r="E259" s="3" t="s">
        <v>524</v>
      </c>
      <c r="F259" s="3"/>
      <c r="G259" s="272">
        <f t="shared" si="129"/>
        <v>15</v>
      </c>
      <c r="H259" s="272">
        <f t="shared" si="129"/>
        <v>0</v>
      </c>
      <c r="I259" s="272">
        <f t="shared" si="129"/>
        <v>15</v>
      </c>
      <c r="J259" s="98"/>
    </row>
    <row r="260" spans="1:10" ht="24.75" x14ac:dyDescent="0.25">
      <c r="A260" s="4" t="s">
        <v>349</v>
      </c>
      <c r="B260" s="3" t="s">
        <v>80</v>
      </c>
      <c r="C260" s="3" t="s">
        <v>15</v>
      </c>
      <c r="D260" s="3" t="s">
        <v>24</v>
      </c>
      <c r="E260" s="3" t="s">
        <v>525</v>
      </c>
      <c r="F260" s="3"/>
      <c r="G260" s="272">
        <f t="shared" si="129"/>
        <v>15</v>
      </c>
      <c r="H260" s="272">
        <f t="shared" si="129"/>
        <v>0</v>
      </c>
      <c r="I260" s="272">
        <f t="shared" si="129"/>
        <v>15</v>
      </c>
      <c r="J260" s="98"/>
    </row>
    <row r="261" spans="1:10" ht="24.75" x14ac:dyDescent="0.25">
      <c r="A261" s="4" t="s">
        <v>47</v>
      </c>
      <c r="B261" s="3" t="s">
        <v>80</v>
      </c>
      <c r="C261" s="3" t="s">
        <v>15</v>
      </c>
      <c r="D261" s="3" t="s">
        <v>24</v>
      </c>
      <c r="E261" s="3" t="s">
        <v>525</v>
      </c>
      <c r="F261" s="3" t="s">
        <v>51</v>
      </c>
      <c r="G261" s="271">
        <v>15</v>
      </c>
      <c r="H261" s="272"/>
      <c r="I261" s="271">
        <f>G261+H261</f>
        <v>15</v>
      </c>
      <c r="J261" s="98"/>
    </row>
    <row r="262" spans="1:10" ht="24" x14ac:dyDescent="0.2">
      <c r="A262" s="4" t="s">
        <v>122</v>
      </c>
      <c r="B262" s="3" t="s">
        <v>80</v>
      </c>
      <c r="C262" s="3" t="s">
        <v>6</v>
      </c>
      <c r="D262" s="3"/>
      <c r="E262" s="3"/>
      <c r="F262" s="3"/>
      <c r="G262" s="264">
        <f>G263+G278</f>
        <v>5508.50767</v>
      </c>
      <c r="H262" s="264">
        <f t="shared" ref="H262:I262" si="130">H263+H278</f>
        <v>662.9</v>
      </c>
      <c r="I262" s="264">
        <f t="shared" si="130"/>
        <v>6171.4076700000005</v>
      </c>
      <c r="J262" s="98"/>
    </row>
    <row r="263" spans="1:10" ht="36" x14ac:dyDescent="0.2">
      <c r="A263" s="4" t="s">
        <v>121</v>
      </c>
      <c r="B263" s="3" t="s">
        <v>80</v>
      </c>
      <c r="C263" s="3" t="s">
        <v>6</v>
      </c>
      <c r="D263" s="3" t="s">
        <v>67</v>
      </c>
      <c r="E263" s="3"/>
      <c r="F263" s="3"/>
      <c r="G263" s="60">
        <f>G264+G273+G276</f>
        <v>5462.7933800000001</v>
      </c>
      <c r="H263" s="60">
        <f t="shared" ref="H263:I263" si="131">H264+H273+H276</f>
        <v>678.3</v>
      </c>
      <c r="I263" s="60">
        <f t="shared" si="131"/>
        <v>6141.0933800000003</v>
      </c>
      <c r="J263" s="98"/>
    </row>
    <row r="264" spans="1:10" ht="72.75" x14ac:dyDescent="0.25">
      <c r="A264" s="4" t="s">
        <v>331</v>
      </c>
      <c r="B264" s="3" t="s">
        <v>80</v>
      </c>
      <c r="C264" s="3" t="s">
        <v>6</v>
      </c>
      <c r="D264" s="3" t="s">
        <v>67</v>
      </c>
      <c r="E264" s="3" t="s">
        <v>234</v>
      </c>
      <c r="F264" s="3"/>
      <c r="G264" s="272">
        <f>G265+G271</f>
        <v>3261.7400000000002</v>
      </c>
      <c r="H264" s="272">
        <f t="shared" ref="H264" si="132">H265+H271</f>
        <v>146.07</v>
      </c>
      <c r="I264" s="272">
        <f>I265+I271</f>
        <v>3407.81</v>
      </c>
      <c r="J264" s="98"/>
    </row>
    <row r="265" spans="1:10" ht="24.75" x14ac:dyDescent="0.25">
      <c r="A265" s="4" t="s">
        <v>332</v>
      </c>
      <c r="B265" s="3" t="s">
        <v>80</v>
      </c>
      <c r="C265" s="3" t="s">
        <v>6</v>
      </c>
      <c r="D265" s="3" t="s">
        <v>67</v>
      </c>
      <c r="E265" s="3" t="s">
        <v>120</v>
      </c>
      <c r="F265" s="3"/>
      <c r="G265" s="272">
        <f t="shared" ref="G265:I265" si="133">G266+G268</f>
        <v>3163.98</v>
      </c>
      <c r="H265" s="272">
        <f t="shared" si="133"/>
        <v>0</v>
      </c>
      <c r="I265" s="272">
        <f t="shared" si="133"/>
        <v>3163.98</v>
      </c>
      <c r="J265" s="98"/>
    </row>
    <row r="266" spans="1:10" ht="24.75" x14ac:dyDescent="0.25">
      <c r="A266" s="4" t="s">
        <v>227</v>
      </c>
      <c r="B266" s="3" t="s">
        <v>80</v>
      </c>
      <c r="C266" s="3" t="s">
        <v>6</v>
      </c>
      <c r="D266" s="3" t="s">
        <v>67</v>
      </c>
      <c r="E266" s="3" t="s">
        <v>119</v>
      </c>
      <c r="F266" s="3"/>
      <c r="G266" s="272">
        <f t="shared" ref="G266:I266" si="134">G267</f>
        <v>3024.38</v>
      </c>
      <c r="H266" s="272">
        <f t="shared" si="134"/>
        <v>0</v>
      </c>
      <c r="I266" s="272">
        <f t="shared" si="134"/>
        <v>3024.38</v>
      </c>
      <c r="J266" s="98"/>
    </row>
    <row r="267" spans="1:10" ht="60.75" x14ac:dyDescent="0.25">
      <c r="A267" s="4" t="s">
        <v>38</v>
      </c>
      <c r="B267" s="3" t="s">
        <v>80</v>
      </c>
      <c r="C267" s="3" t="s">
        <v>6</v>
      </c>
      <c r="D267" s="3" t="s">
        <v>67</v>
      </c>
      <c r="E267" s="3" t="s">
        <v>119</v>
      </c>
      <c r="F267" s="3">
        <v>100</v>
      </c>
      <c r="G267" s="271">
        <f>2307.51152+20+696.86848</f>
        <v>3024.38</v>
      </c>
      <c r="H267" s="272"/>
      <c r="I267" s="271">
        <f>G267+H267</f>
        <v>3024.38</v>
      </c>
      <c r="J267" s="98"/>
    </row>
    <row r="268" spans="1:10" x14ac:dyDescent="0.25">
      <c r="A268" s="4" t="s">
        <v>228</v>
      </c>
      <c r="B268" s="3" t="s">
        <v>80</v>
      </c>
      <c r="C268" s="3" t="s">
        <v>6</v>
      </c>
      <c r="D268" s="3" t="s">
        <v>67</v>
      </c>
      <c r="E268" s="3" t="s">
        <v>118</v>
      </c>
      <c r="F268" s="3"/>
      <c r="G268" s="272">
        <f t="shared" ref="G268" si="135">G269+G270</f>
        <v>139.6</v>
      </c>
      <c r="H268" s="272">
        <f>H269+H270</f>
        <v>0</v>
      </c>
      <c r="I268" s="272">
        <f>I269+I270</f>
        <v>139.6</v>
      </c>
      <c r="J268" s="98"/>
    </row>
    <row r="269" spans="1:10" ht="24.75" x14ac:dyDescent="0.25">
      <c r="A269" s="4" t="s">
        <v>47</v>
      </c>
      <c r="B269" s="3" t="s">
        <v>80</v>
      </c>
      <c r="C269" s="3" t="s">
        <v>6</v>
      </c>
      <c r="D269" s="3" t="s">
        <v>67</v>
      </c>
      <c r="E269" s="3" t="s">
        <v>118</v>
      </c>
      <c r="F269" s="3" t="s">
        <v>51</v>
      </c>
      <c r="G269" s="271">
        <v>125.85</v>
      </c>
      <c r="H269" s="272"/>
      <c r="I269" s="271">
        <f>G269+H269</f>
        <v>125.85</v>
      </c>
      <c r="J269" s="98"/>
    </row>
    <row r="270" spans="1:10" ht="24" x14ac:dyDescent="0.25">
      <c r="A270" s="7" t="s">
        <v>73</v>
      </c>
      <c r="B270" s="3" t="s">
        <v>80</v>
      </c>
      <c r="C270" s="3" t="s">
        <v>6</v>
      </c>
      <c r="D270" s="3" t="s">
        <v>67</v>
      </c>
      <c r="E270" s="3" t="s">
        <v>118</v>
      </c>
      <c r="F270" s="3" t="s">
        <v>80</v>
      </c>
      <c r="G270" s="271">
        <v>13.75</v>
      </c>
      <c r="H270" s="272"/>
      <c r="I270" s="271">
        <f>G270+H270</f>
        <v>13.75</v>
      </c>
      <c r="J270" s="98"/>
    </row>
    <row r="271" spans="1:10" ht="24.75" x14ac:dyDescent="0.25">
      <c r="A271" s="4" t="s">
        <v>545</v>
      </c>
      <c r="B271" s="3" t="s">
        <v>80</v>
      </c>
      <c r="C271" s="3" t="s">
        <v>6</v>
      </c>
      <c r="D271" s="3" t="s">
        <v>67</v>
      </c>
      <c r="E271" s="3" t="s">
        <v>556</v>
      </c>
      <c r="F271" s="3"/>
      <c r="G271" s="271">
        <f>G272</f>
        <v>97.76</v>
      </c>
      <c r="H271" s="271">
        <f t="shared" ref="H271:I271" si="136">H272</f>
        <v>146.07</v>
      </c>
      <c r="I271" s="271">
        <f t="shared" si="136"/>
        <v>243.82999999999998</v>
      </c>
      <c r="J271" s="98"/>
    </row>
    <row r="272" spans="1:10" ht="60.75" x14ac:dyDescent="0.25">
      <c r="A272" s="4" t="s">
        <v>38</v>
      </c>
      <c r="B272" s="3" t="s">
        <v>80</v>
      </c>
      <c r="C272" s="3" t="s">
        <v>6</v>
      </c>
      <c r="D272" s="3" t="s">
        <v>67</v>
      </c>
      <c r="E272" s="3" t="s">
        <v>556</v>
      </c>
      <c r="F272" s="3">
        <v>100</v>
      </c>
      <c r="G272" s="271">
        <v>97.76</v>
      </c>
      <c r="H272" s="272">
        <f>112.189+33.881</f>
        <v>146.07</v>
      </c>
      <c r="I272" s="271">
        <f t="shared" ref="I272" si="137">G272+H272</f>
        <v>243.82999999999998</v>
      </c>
      <c r="J272" s="98"/>
    </row>
    <row r="273" spans="1:10" ht="60.75" x14ac:dyDescent="0.25">
      <c r="A273" s="4" t="s">
        <v>273</v>
      </c>
      <c r="B273" s="3" t="s">
        <v>80</v>
      </c>
      <c r="C273" s="3" t="s">
        <v>6</v>
      </c>
      <c r="D273" s="3" t="s">
        <v>67</v>
      </c>
      <c r="E273" s="3" t="s">
        <v>95</v>
      </c>
      <c r="F273" s="3"/>
      <c r="G273" s="272">
        <f t="shared" ref="G273:I273" si="138">G274</f>
        <v>2201.0533799999998</v>
      </c>
      <c r="H273" s="272">
        <f t="shared" si="138"/>
        <v>0</v>
      </c>
      <c r="I273" s="272">
        <f t="shared" si="138"/>
        <v>2201.0533799999998</v>
      </c>
      <c r="J273" s="98"/>
    </row>
    <row r="274" spans="1:10" ht="72.75" x14ac:dyDescent="0.25">
      <c r="A274" s="4" t="s">
        <v>117</v>
      </c>
      <c r="B274" s="3" t="s">
        <v>80</v>
      </c>
      <c r="C274" s="3" t="s">
        <v>6</v>
      </c>
      <c r="D274" s="3" t="s">
        <v>67</v>
      </c>
      <c r="E274" s="3" t="s">
        <v>277</v>
      </c>
      <c r="F274" s="3"/>
      <c r="G274" s="272">
        <f>G275</f>
        <v>2201.0533799999998</v>
      </c>
      <c r="H274" s="272">
        <f>H275</f>
        <v>0</v>
      </c>
      <c r="I274" s="272">
        <f>I275</f>
        <v>2201.0533799999998</v>
      </c>
      <c r="J274" s="98"/>
    </row>
    <row r="275" spans="1:10" ht="24.75" x14ac:dyDescent="0.25">
      <c r="A275" s="4" t="s">
        <v>47</v>
      </c>
      <c r="B275" s="3" t="s">
        <v>80</v>
      </c>
      <c r="C275" s="3" t="s">
        <v>6</v>
      </c>
      <c r="D275" s="3" t="s">
        <v>67</v>
      </c>
      <c r="E275" s="3" t="s">
        <v>402</v>
      </c>
      <c r="F275" s="3" t="s">
        <v>51</v>
      </c>
      <c r="G275" s="271">
        <v>2201.0533799999998</v>
      </c>
      <c r="H275" s="272"/>
      <c r="I275" s="271">
        <f>G275+H275</f>
        <v>2201.0533799999998</v>
      </c>
      <c r="J275" s="98"/>
    </row>
    <row r="276" spans="1:10" ht="12.75" x14ac:dyDescent="0.2">
      <c r="A276" s="4" t="s">
        <v>46</v>
      </c>
      <c r="B276" s="3" t="s">
        <v>80</v>
      </c>
      <c r="C276" s="3" t="s">
        <v>6</v>
      </c>
      <c r="D276" s="3" t="s">
        <v>67</v>
      </c>
      <c r="E276" s="3" t="s">
        <v>44</v>
      </c>
      <c r="F276" s="3"/>
      <c r="G276" s="60">
        <f>G277</f>
        <v>0</v>
      </c>
      <c r="H276" s="60">
        <f>H277</f>
        <v>532.23</v>
      </c>
      <c r="I276" s="60">
        <f>I277</f>
        <v>532.23</v>
      </c>
      <c r="J276" s="98"/>
    </row>
    <row r="277" spans="1:10" ht="24" x14ac:dyDescent="0.2">
      <c r="A277" s="4" t="s">
        <v>47</v>
      </c>
      <c r="B277" s="3" t="s">
        <v>80</v>
      </c>
      <c r="C277" s="3" t="s">
        <v>6</v>
      </c>
      <c r="D277" s="3" t="s">
        <v>67</v>
      </c>
      <c r="E277" s="3" t="s">
        <v>44</v>
      </c>
      <c r="F277" s="3" t="s">
        <v>51</v>
      </c>
      <c r="G277" s="60"/>
      <c r="H277" s="60">
        <v>532.23</v>
      </c>
      <c r="I277" s="60">
        <f>H277+G277</f>
        <v>532.23</v>
      </c>
      <c r="J277" s="98"/>
    </row>
    <row r="278" spans="1:10" ht="36" x14ac:dyDescent="0.2">
      <c r="A278" s="4" t="s">
        <v>116</v>
      </c>
      <c r="B278" s="3" t="s">
        <v>80</v>
      </c>
      <c r="C278" s="3" t="s">
        <v>6</v>
      </c>
      <c r="D278" s="3" t="s">
        <v>7</v>
      </c>
      <c r="E278" s="3"/>
      <c r="F278" s="3"/>
      <c r="G278" s="264">
        <f t="shared" ref="G278:I278" si="139">G279</f>
        <v>45.714289999999998</v>
      </c>
      <c r="H278" s="264">
        <f t="shared" si="139"/>
        <v>-15.4</v>
      </c>
      <c r="I278" s="264">
        <f t="shared" si="139"/>
        <v>30.31429</v>
      </c>
      <c r="J278" s="98"/>
    </row>
    <row r="279" spans="1:10" ht="60.75" x14ac:dyDescent="0.25">
      <c r="A279" s="4" t="s">
        <v>273</v>
      </c>
      <c r="B279" s="3" t="s">
        <v>80</v>
      </c>
      <c r="C279" s="3" t="s">
        <v>6</v>
      </c>
      <c r="D279" s="3">
        <v>14</v>
      </c>
      <c r="E279" s="3" t="s">
        <v>95</v>
      </c>
      <c r="F279" s="3"/>
      <c r="G279" s="272">
        <f>G280+G283</f>
        <v>45.714289999999998</v>
      </c>
      <c r="H279" s="272">
        <f>H280+H283</f>
        <v>-15.4</v>
      </c>
      <c r="I279" s="272">
        <f>I280+I283</f>
        <v>30.31429</v>
      </c>
      <c r="J279" s="98"/>
    </row>
    <row r="280" spans="1:10" ht="72.75" x14ac:dyDescent="0.25">
      <c r="A280" s="4" t="s">
        <v>115</v>
      </c>
      <c r="B280" s="3" t="s">
        <v>80</v>
      </c>
      <c r="C280" s="3" t="s">
        <v>6</v>
      </c>
      <c r="D280" s="3" t="s">
        <v>7</v>
      </c>
      <c r="E280" s="3" t="s">
        <v>275</v>
      </c>
      <c r="F280" s="3"/>
      <c r="G280" s="272">
        <f t="shared" ref="G280:I281" si="140">G281</f>
        <v>15</v>
      </c>
      <c r="H280" s="272">
        <f t="shared" si="140"/>
        <v>0</v>
      </c>
      <c r="I280" s="272">
        <f t="shared" si="140"/>
        <v>15</v>
      </c>
      <c r="J280" s="98"/>
    </row>
    <row r="281" spans="1:10" ht="24.75" x14ac:dyDescent="0.25">
      <c r="A281" s="4" t="s">
        <v>278</v>
      </c>
      <c r="B281" s="3" t="s">
        <v>80</v>
      </c>
      <c r="C281" s="3" t="s">
        <v>6</v>
      </c>
      <c r="D281" s="3" t="s">
        <v>7</v>
      </c>
      <c r="E281" s="3" t="s">
        <v>114</v>
      </c>
      <c r="F281" s="3"/>
      <c r="G281" s="272">
        <f t="shared" si="140"/>
        <v>15</v>
      </c>
      <c r="H281" s="272">
        <f t="shared" si="140"/>
        <v>0</v>
      </c>
      <c r="I281" s="272">
        <f t="shared" si="140"/>
        <v>15</v>
      </c>
      <c r="J281" s="98"/>
    </row>
    <row r="282" spans="1:10" ht="24.75" x14ac:dyDescent="0.25">
      <c r="A282" s="4" t="s">
        <v>47</v>
      </c>
      <c r="B282" s="3" t="s">
        <v>80</v>
      </c>
      <c r="C282" s="3" t="s">
        <v>6</v>
      </c>
      <c r="D282" s="3">
        <v>14</v>
      </c>
      <c r="E282" s="3" t="s">
        <v>114</v>
      </c>
      <c r="F282" s="3">
        <v>200</v>
      </c>
      <c r="G282" s="271">
        <v>15</v>
      </c>
      <c r="H282" s="272"/>
      <c r="I282" s="271">
        <f>G282+H282</f>
        <v>15</v>
      </c>
      <c r="J282" s="98"/>
    </row>
    <row r="283" spans="1:10" ht="48" x14ac:dyDescent="0.25">
      <c r="A283" s="7" t="s">
        <v>113</v>
      </c>
      <c r="B283" s="3" t="s">
        <v>80</v>
      </c>
      <c r="C283" s="3" t="s">
        <v>6</v>
      </c>
      <c r="D283" s="3" t="s">
        <v>7</v>
      </c>
      <c r="E283" s="3" t="s">
        <v>279</v>
      </c>
      <c r="F283" s="3"/>
      <c r="G283" s="272">
        <f t="shared" ref="G283:H283" si="141">G284+G286</f>
        <v>30.714289999999998</v>
      </c>
      <c r="H283" s="272">
        <f t="shared" si="141"/>
        <v>-15.4</v>
      </c>
      <c r="I283" s="272">
        <f>I284+I286</f>
        <v>15.31429</v>
      </c>
      <c r="J283" s="98"/>
    </row>
    <row r="284" spans="1:10" ht="48.75" x14ac:dyDescent="0.25">
      <c r="A284" s="4" t="s">
        <v>281</v>
      </c>
      <c r="B284" s="3" t="s">
        <v>80</v>
      </c>
      <c r="C284" s="3" t="s">
        <v>6</v>
      </c>
      <c r="D284" s="3" t="s">
        <v>7</v>
      </c>
      <c r="E284" s="3" t="s">
        <v>280</v>
      </c>
      <c r="F284" s="3"/>
      <c r="G284" s="272">
        <f t="shared" ref="G284:I284" si="142">G285</f>
        <v>15</v>
      </c>
      <c r="H284" s="272">
        <f t="shared" si="142"/>
        <v>0.31429000000000001</v>
      </c>
      <c r="I284" s="272">
        <f t="shared" si="142"/>
        <v>15.31429</v>
      </c>
      <c r="J284" s="98"/>
    </row>
    <row r="285" spans="1:10" ht="24.75" x14ac:dyDescent="0.25">
      <c r="A285" s="4" t="s">
        <v>47</v>
      </c>
      <c r="B285" s="3" t="s">
        <v>80</v>
      </c>
      <c r="C285" s="3" t="s">
        <v>6</v>
      </c>
      <c r="D285" s="3">
        <v>14</v>
      </c>
      <c r="E285" s="3" t="s">
        <v>280</v>
      </c>
      <c r="F285" s="3">
        <v>200</v>
      </c>
      <c r="G285" s="271">
        <v>15</v>
      </c>
      <c r="H285" s="272">
        <f>0.31429</f>
        <v>0.31429000000000001</v>
      </c>
      <c r="I285" s="271">
        <f>G285+H285</f>
        <v>15.31429</v>
      </c>
      <c r="J285" s="98"/>
    </row>
    <row r="286" spans="1:10" ht="84.75" x14ac:dyDescent="0.25">
      <c r="A286" s="4" t="s">
        <v>571</v>
      </c>
      <c r="B286" s="3" t="s">
        <v>80</v>
      </c>
      <c r="C286" s="3" t="s">
        <v>6</v>
      </c>
      <c r="D286" s="3">
        <v>14</v>
      </c>
      <c r="E286" s="3" t="s">
        <v>572</v>
      </c>
      <c r="F286" s="3"/>
      <c r="G286" s="272">
        <f>G287</f>
        <v>15.71429</v>
      </c>
      <c r="H286" s="272">
        <f t="shared" ref="H286:I286" si="143">H287</f>
        <v>-15.71429</v>
      </c>
      <c r="I286" s="272">
        <f t="shared" si="143"/>
        <v>0</v>
      </c>
      <c r="J286" s="98"/>
    </row>
    <row r="287" spans="1:10" ht="24.75" x14ac:dyDescent="0.25">
      <c r="A287" s="4" t="s">
        <v>47</v>
      </c>
      <c r="B287" s="3" t="s">
        <v>80</v>
      </c>
      <c r="C287" s="3" t="s">
        <v>6</v>
      </c>
      <c r="D287" s="3">
        <v>14</v>
      </c>
      <c r="E287" s="3" t="s">
        <v>572</v>
      </c>
      <c r="F287" s="3">
        <v>200</v>
      </c>
      <c r="G287" s="271">
        <v>15.71429</v>
      </c>
      <c r="H287" s="272">
        <f>-15.4-0.31429</f>
        <v>-15.71429</v>
      </c>
      <c r="I287" s="271">
        <f>G287+H287</f>
        <v>0</v>
      </c>
      <c r="J287" s="98"/>
    </row>
    <row r="288" spans="1:10" ht="12.75" x14ac:dyDescent="0.2">
      <c r="A288" s="4" t="s">
        <v>111</v>
      </c>
      <c r="B288" s="3" t="s">
        <v>80</v>
      </c>
      <c r="C288" s="3" t="s">
        <v>59</v>
      </c>
      <c r="D288" s="3"/>
      <c r="E288" s="3"/>
      <c r="F288" s="3"/>
      <c r="G288" s="264">
        <f>G289+G306+G299</f>
        <v>24734.308509999999</v>
      </c>
      <c r="H288" s="264">
        <f>H289+H306+H299</f>
        <v>2568.52009</v>
      </c>
      <c r="I288" s="264">
        <f>I289+I306+I299</f>
        <v>27302.828600000001</v>
      </c>
      <c r="J288" s="98"/>
    </row>
    <row r="289" spans="1:10" ht="12.75" x14ac:dyDescent="0.2">
      <c r="A289" s="4" t="s">
        <v>110</v>
      </c>
      <c r="B289" s="3" t="s">
        <v>80</v>
      </c>
      <c r="C289" s="3" t="s">
        <v>59</v>
      </c>
      <c r="D289" s="3" t="s">
        <v>36</v>
      </c>
      <c r="E289" s="3"/>
      <c r="F289" s="3"/>
      <c r="G289" s="264">
        <f t="shared" ref="G289:I290" si="144">G290</f>
        <v>1040.3</v>
      </c>
      <c r="H289" s="264">
        <f t="shared" si="144"/>
        <v>0</v>
      </c>
      <c r="I289" s="264">
        <f t="shared" si="144"/>
        <v>1040.3</v>
      </c>
      <c r="J289" s="98"/>
    </row>
    <row r="290" spans="1:10" ht="72" x14ac:dyDescent="0.2">
      <c r="A290" s="4" t="s">
        <v>268</v>
      </c>
      <c r="B290" s="3" t="s">
        <v>80</v>
      </c>
      <c r="C290" s="3" t="s">
        <v>59</v>
      </c>
      <c r="D290" s="3" t="s">
        <v>36</v>
      </c>
      <c r="E290" s="3" t="s">
        <v>63</v>
      </c>
      <c r="F290" s="3"/>
      <c r="G290" s="265">
        <f t="shared" si="144"/>
        <v>1040.3</v>
      </c>
      <c r="H290" s="265">
        <f t="shared" si="144"/>
        <v>0</v>
      </c>
      <c r="I290" s="265">
        <f t="shared" si="144"/>
        <v>1040.3</v>
      </c>
      <c r="J290" s="98"/>
    </row>
    <row r="291" spans="1:10" ht="48" x14ac:dyDescent="0.2">
      <c r="A291" s="4" t="s">
        <v>109</v>
      </c>
      <c r="B291" s="3" t="s">
        <v>80</v>
      </c>
      <c r="C291" s="3" t="s">
        <v>59</v>
      </c>
      <c r="D291" s="3" t="s">
        <v>36</v>
      </c>
      <c r="E291" s="3" t="s">
        <v>282</v>
      </c>
      <c r="F291" s="3"/>
      <c r="G291" s="265">
        <f t="shared" ref="G291" si="145">G292+G295+G297</f>
        <v>1040.3</v>
      </c>
      <c r="H291" s="265">
        <f>H292+H295+H297</f>
        <v>0</v>
      </c>
      <c r="I291" s="265">
        <f>I292+I295+I297</f>
        <v>1040.3</v>
      </c>
      <c r="J291" s="98"/>
    </row>
    <row r="292" spans="1:10" ht="24" x14ac:dyDescent="0.2">
      <c r="A292" s="4" t="s">
        <v>283</v>
      </c>
      <c r="B292" s="3" t="s">
        <v>80</v>
      </c>
      <c r="C292" s="3" t="s">
        <v>59</v>
      </c>
      <c r="D292" s="3" t="s">
        <v>36</v>
      </c>
      <c r="E292" s="3" t="s">
        <v>108</v>
      </c>
      <c r="F292" s="3"/>
      <c r="G292" s="265">
        <f t="shared" ref="G292" si="146">G293+G294</f>
        <v>490</v>
      </c>
      <c r="H292" s="265">
        <f>H293+H294</f>
        <v>0</v>
      </c>
      <c r="I292" s="265">
        <f>I293+I294</f>
        <v>490</v>
      </c>
      <c r="J292" s="98"/>
    </row>
    <row r="293" spans="1:10" ht="24" x14ac:dyDescent="0.2">
      <c r="A293" s="4" t="s">
        <v>47</v>
      </c>
      <c r="B293" s="3" t="s">
        <v>80</v>
      </c>
      <c r="C293" s="3" t="s">
        <v>59</v>
      </c>
      <c r="D293" s="3" t="s">
        <v>36</v>
      </c>
      <c r="E293" s="3" t="s">
        <v>108</v>
      </c>
      <c r="F293" s="3">
        <v>200</v>
      </c>
      <c r="G293" s="60">
        <v>290</v>
      </c>
      <c r="H293" s="265"/>
      <c r="I293" s="60">
        <f>G293+H293</f>
        <v>290</v>
      </c>
      <c r="J293" s="98"/>
    </row>
    <row r="294" spans="1:10" ht="24" x14ac:dyDescent="0.2">
      <c r="A294" s="7" t="s">
        <v>73</v>
      </c>
      <c r="B294" s="3" t="s">
        <v>80</v>
      </c>
      <c r="C294" s="3" t="s">
        <v>59</v>
      </c>
      <c r="D294" s="3" t="s">
        <v>36</v>
      </c>
      <c r="E294" s="3" t="s">
        <v>108</v>
      </c>
      <c r="F294" s="3" t="s">
        <v>80</v>
      </c>
      <c r="G294" s="60">
        <v>200</v>
      </c>
      <c r="H294" s="265"/>
      <c r="I294" s="60">
        <f>G294+H294</f>
        <v>200</v>
      </c>
      <c r="J294" s="98"/>
    </row>
    <row r="295" spans="1:10" ht="108" x14ac:dyDescent="0.2">
      <c r="A295" s="4" t="s">
        <v>340</v>
      </c>
      <c r="B295" s="3" t="s">
        <v>80</v>
      </c>
      <c r="C295" s="3" t="s">
        <v>59</v>
      </c>
      <c r="D295" s="3" t="s">
        <v>36</v>
      </c>
      <c r="E295" s="3" t="s">
        <v>107</v>
      </c>
      <c r="F295" s="3"/>
      <c r="G295" s="265">
        <f t="shared" ref="G295:I295" si="147">G296</f>
        <v>191.8</v>
      </c>
      <c r="H295" s="265">
        <f t="shared" si="147"/>
        <v>0</v>
      </c>
      <c r="I295" s="265">
        <f t="shared" si="147"/>
        <v>191.8</v>
      </c>
      <c r="J295" s="98"/>
    </row>
    <row r="296" spans="1:10" ht="24" x14ac:dyDescent="0.2">
      <c r="A296" s="4" t="s">
        <v>47</v>
      </c>
      <c r="B296" s="3" t="s">
        <v>80</v>
      </c>
      <c r="C296" s="3" t="s">
        <v>59</v>
      </c>
      <c r="D296" s="3" t="s">
        <v>36</v>
      </c>
      <c r="E296" s="3" t="s">
        <v>107</v>
      </c>
      <c r="F296" s="3" t="s">
        <v>51</v>
      </c>
      <c r="G296" s="60">
        <v>191.8</v>
      </c>
      <c r="H296" s="265"/>
      <c r="I296" s="60">
        <f>G296+H296</f>
        <v>191.8</v>
      </c>
      <c r="J296" s="98"/>
    </row>
    <row r="297" spans="1:10" ht="36" x14ac:dyDescent="0.2">
      <c r="A297" s="4" t="s">
        <v>341</v>
      </c>
      <c r="B297" s="3" t="s">
        <v>80</v>
      </c>
      <c r="C297" s="3" t="s">
        <v>59</v>
      </c>
      <c r="D297" s="3" t="s">
        <v>36</v>
      </c>
      <c r="E297" s="3" t="s">
        <v>106</v>
      </c>
      <c r="F297" s="3"/>
      <c r="G297" s="265">
        <f t="shared" ref="G297:I297" si="148">G298</f>
        <v>358.5</v>
      </c>
      <c r="H297" s="265">
        <f t="shared" si="148"/>
        <v>0</v>
      </c>
      <c r="I297" s="265">
        <f t="shared" si="148"/>
        <v>358.5</v>
      </c>
      <c r="J297" s="98"/>
    </row>
    <row r="298" spans="1:10" ht="24" x14ac:dyDescent="0.2">
      <c r="A298" s="4" t="s">
        <v>47</v>
      </c>
      <c r="B298" s="3" t="s">
        <v>80</v>
      </c>
      <c r="C298" s="3" t="s">
        <v>59</v>
      </c>
      <c r="D298" s="3" t="s">
        <v>36</v>
      </c>
      <c r="E298" s="3" t="s">
        <v>106</v>
      </c>
      <c r="F298" s="3" t="s">
        <v>51</v>
      </c>
      <c r="G298" s="60">
        <v>358.5</v>
      </c>
      <c r="H298" s="265"/>
      <c r="I298" s="60">
        <f>G298+H298</f>
        <v>358.5</v>
      </c>
      <c r="J298" s="98"/>
    </row>
    <row r="299" spans="1:10" ht="12.75" x14ac:dyDescent="0.2">
      <c r="A299" s="4" t="s">
        <v>105</v>
      </c>
      <c r="B299" s="3" t="s">
        <v>80</v>
      </c>
      <c r="C299" s="3" t="s">
        <v>59</v>
      </c>
      <c r="D299" s="3" t="s">
        <v>67</v>
      </c>
      <c r="E299" s="3"/>
      <c r="F299" s="3"/>
      <c r="G299" s="60">
        <f>G300</f>
        <v>5284.5309999999999</v>
      </c>
      <c r="H299" s="60">
        <f t="shared" ref="H299:I299" si="149">H300</f>
        <v>-5.2</v>
      </c>
      <c r="I299" s="60">
        <f t="shared" si="149"/>
        <v>5279.3310000000001</v>
      </c>
      <c r="J299" s="98"/>
    </row>
    <row r="300" spans="1:10" ht="60.75" x14ac:dyDescent="0.25">
      <c r="A300" s="4" t="s">
        <v>403</v>
      </c>
      <c r="B300" s="3" t="s">
        <v>80</v>
      </c>
      <c r="C300" s="3" t="s">
        <v>59</v>
      </c>
      <c r="D300" s="3" t="s">
        <v>67</v>
      </c>
      <c r="E300" s="3" t="s">
        <v>404</v>
      </c>
      <c r="F300" s="3"/>
      <c r="G300" s="272">
        <f t="shared" ref="G300:I304" si="150">G301</f>
        <v>5284.5309999999999</v>
      </c>
      <c r="H300" s="272">
        <f t="shared" si="150"/>
        <v>-5.2</v>
      </c>
      <c r="I300" s="272">
        <f t="shared" si="150"/>
        <v>5279.3310000000001</v>
      </c>
      <c r="J300" s="98"/>
    </row>
    <row r="301" spans="1:10" ht="24.75" x14ac:dyDescent="0.25">
      <c r="A301" s="4" t="s">
        <v>570</v>
      </c>
      <c r="B301" s="3" t="s">
        <v>80</v>
      </c>
      <c r="C301" s="3" t="s">
        <v>59</v>
      </c>
      <c r="D301" s="3" t="s">
        <v>67</v>
      </c>
      <c r="E301" s="3" t="s">
        <v>405</v>
      </c>
      <c r="F301" s="3"/>
      <c r="G301" s="272">
        <f>G302+G304</f>
        <v>5284.5309999999999</v>
      </c>
      <c r="H301" s="272">
        <f t="shared" ref="H301:I301" si="151">H302+H304</f>
        <v>-5.2</v>
      </c>
      <c r="I301" s="272">
        <f t="shared" si="151"/>
        <v>5279.3310000000001</v>
      </c>
      <c r="J301" s="98"/>
    </row>
    <row r="302" spans="1:10" ht="24.75" x14ac:dyDescent="0.25">
      <c r="A302" s="4" t="s">
        <v>569</v>
      </c>
      <c r="B302" s="3" t="s">
        <v>80</v>
      </c>
      <c r="C302" s="3" t="s">
        <v>59</v>
      </c>
      <c r="D302" s="3" t="s">
        <v>67</v>
      </c>
      <c r="E302" s="3" t="s">
        <v>406</v>
      </c>
      <c r="F302" s="3"/>
      <c r="G302" s="272">
        <f t="shared" si="150"/>
        <v>5177.5309999999999</v>
      </c>
      <c r="H302" s="272">
        <f t="shared" si="150"/>
        <v>-5.2</v>
      </c>
      <c r="I302" s="272">
        <f t="shared" si="150"/>
        <v>5172.3310000000001</v>
      </c>
      <c r="J302" s="98"/>
    </row>
    <row r="303" spans="1:10" ht="24.75" x14ac:dyDescent="0.25">
      <c r="A303" s="4" t="s">
        <v>47</v>
      </c>
      <c r="B303" s="3" t="s">
        <v>80</v>
      </c>
      <c r="C303" s="3" t="s">
        <v>59</v>
      </c>
      <c r="D303" s="3" t="s">
        <v>67</v>
      </c>
      <c r="E303" s="3" t="s">
        <v>406</v>
      </c>
      <c r="F303" s="3" t="s">
        <v>51</v>
      </c>
      <c r="G303" s="271">
        <v>5177.5309999999999</v>
      </c>
      <c r="H303" s="272">
        <f>-5.2</f>
        <v>-5.2</v>
      </c>
      <c r="I303" s="271">
        <f>G303+H303</f>
        <v>5172.3310000000001</v>
      </c>
      <c r="J303" s="98"/>
    </row>
    <row r="304" spans="1:10" ht="36.75" x14ac:dyDescent="0.25">
      <c r="A304" s="4" t="s">
        <v>604</v>
      </c>
      <c r="B304" s="3" t="s">
        <v>80</v>
      </c>
      <c r="C304" s="3" t="s">
        <v>59</v>
      </c>
      <c r="D304" s="3" t="s">
        <v>67</v>
      </c>
      <c r="E304" s="3" t="s">
        <v>568</v>
      </c>
      <c r="F304" s="3"/>
      <c r="G304" s="272">
        <f t="shared" si="150"/>
        <v>107</v>
      </c>
      <c r="H304" s="272">
        <f t="shared" si="150"/>
        <v>0</v>
      </c>
      <c r="I304" s="272">
        <f t="shared" si="150"/>
        <v>107</v>
      </c>
      <c r="J304" s="98"/>
    </row>
    <row r="305" spans="1:10" ht="24.75" x14ac:dyDescent="0.25">
      <c r="A305" s="4" t="s">
        <v>47</v>
      </c>
      <c r="B305" s="3" t="s">
        <v>80</v>
      </c>
      <c r="C305" s="3" t="s">
        <v>59</v>
      </c>
      <c r="D305" s="3" t="s">
        <v>67</v>
      </c>
      <c r="E305" s="3" t="s">
        <v>568</v>
      </c>
      <c r="F305" s="3" t="s">
        <v>51</v>
      </c>
      <c r="G305" s="271">
        <v>107</v>
      </c>
      <c r="H305" s="272"/>
      <c r="I305" s="271">
        <f>G305+H305</f>
        <v>107</v>
      </c>
      <c r="J305" s="98"/>
    </row>
    <row r="306" spans="1:10" ht="24" x14ac:dyDescent="0.2">
      <c r="A306" s="7" t="s">
        <v>104</v>
      </c>
      <c r="B306" s="3" t="s">
        <v>80</v>
      </c>
      <c r="C306" s="3" t="s">
        <v>59</v>
      </c>
      <c r="D306" s="3" t="s">
        <v>28</v>
      </c>
      <c r="E306" s="3"/>
      <c r="F306" s="3"/>
      <c r="G306" s="264">
        <f>G307+G323+G328+G314</f>
        <v>18409.477510000001</v>
      </c>
      <c r="H306" s="264">
        <f>H307+H323+H328+H314</f>
        <v>2573.7200899999998</v>
      </c>
      <c r="I306" s="264">
        <f t="shared" ref="I306" si="152">I307+I323+I328+I314</f>
        <v>20983.1976</v>
      </c>
      <c r="J306" s="98"/>
    </row>
    <row r="307" spans="1:10" ht="60" x14ac:dyDescent="0.2">
      <c r="A307" s="4" t="s">
        <v>284</v>
      </c>
      <c r="B307" s="3" t="s">
        <v>80</v>
      </c>
      <c r="C307" s="3" t="s">
        <v>59</v>
      </c>
      <c r="D307" s="3" t="s">
        <v>28</v>
      </c>
      <c r="E307" s="3" t="s">
        <v>103</v>
      </c>
      <c r="F307" s="3"/>
      <c r="G307" s="266">
        <f t="shared" ref="G307" si="153">G308+G311</f>
        <v>780</v>
      </c>
      <c r="H307" s="266">
        <f>H308+H311</f>
        <v>-300</v>
      </c>
      <c r="I307" s="266">
        <f>I308+I311</f>
        <v>480</v>
      </c>
      <c r="J307" s="98"/>
    </row>
    <row r="308" spans="1:10" ht="36" x14ac:dyDescent="0.2">
      <c r="A308" s="4" t="s">
        <v>212</v>
      </c>
      <c r="B308" s="3" t="s">
        <v>80</v>
      </c>
      <c r="C308" s="3" t="s">
        <v>59</v>
      </c>
      <c r="D308" s="3" t="s">
        <v>28</v>
      </c>
      <c r="E308" s="3" t="s">
        <v>285</v>
      </c>
      <c r="F308" s="3"/>
      <c r="G308" s="266">
        <f t="shared" ref="G308:I309" si="154">G309</f>
        <v>730</v>
      </c>
      <c r="H308" s="266">
        <f t="shared" si="154"/>
        <v>-300</v>
      </c>
      <c r="I308" s="266">
        <f t="shared" si="154"/>
        <v>430</v>
      </c>
      <c r="J308" s="98"/>
    </row>
    <row r="309" spans="1:10" ht="48" x14ac:dyDescent="0.2">
      <c r="A309" s="4" t="s">
        <v>286</v>
      </c>
      <c r="B309" s="3" t="s">
        <v>80</v>
      </c>
      <c r="C309" s="3" t="s">
        <v>59</v>
      </c>
      <c r="D309" s="3" t="s">
        <v>28</v>
      </c>
      <c r="E309" s="3" t="s">
        <v>102</v>
      </c>
      <c r="F309" s="3"/>
      <c r="G309" s="266">
        <f t="shared" si="154"/>
        <v>730</v>
      </c>
      <c r="H309" s="266">
        <f t="shared" si="154"/>
        <v>-300</v>
      </c>
      <c r="I309" s="266">
        <f t="shared" si="154"/>
        <v>430</v>
      </c>
      <c r="J309" s="98"/>
    </row>
    <row r="310" spans="1:10" ht="24" x14ac:dyDescent="0.2">
      <c r="A310" s="4" t="s">
        <v>73</v>
      </c>
      <c r="B310" s="3" t="s">
        <v>80</v>
      </c>
      <c r="C310" s="3" t="s">
        <v>59</v>
      </c>
      <c r="D310" s="3" t="s">
        <v>28</v>
      </c>
      <c r="E310" s="3" t="s">
        <v>102</v>
      </c>
      <c r="F310" s="3" t="s">
        <v>80</v>
      </c>
      <c r="G310" s="60">
        <v>730</v>
      </c>
      <c r="H310" s="266">
        <v>-300</v>
      </c>
      <c r="I310" s="60">
        <f>G310+H310</f>
        <v>430</v>
      </c>
      <c r="J310" s="98"/>
    </row>
    <row r="311" spans="1:10" ht="36" x14ac:dyDescent="0.2">
      <c r="A311" s="7" t="s">
        <v>289</v>
      </c>
      <c r="B311" s="3" t="s">
        <v>80</v>
      </c>
      <c r="C311" s="3" t="s">
        <v>59</v>
      </c>
      <c r="D311" s="3" t="s">
        <v>28</v>
      </c>
      <c r="E311" s="3" t="s">
        <v>287</v>
      </c>
      <c r="F311" s="3"/>
      <c r="G311" s="266">
        <f t="shared" ref="G311:I311" si="155">G312</f>
        <v>50</v>
      </c>
      <c r="H311" s="266">
        <f t="shared" si="155"/>
        <v>0</v>
      </c>
      <c r="I311" s="266">
        <f t="shared" si="155"/>
        <v>50</v>
      </c>
      <c r="J311" s="98"/>
    </row>
    <row r="312" spans="1:10" ht="24" x14ac:dyDescent="0.2">
      <c r="A312" s="4" t="s">
        <v>290</v>
      </c>
      <c r="B312" s="3" t="s">
        <v>80</v>
      </c>
      <c r="C312" s="3" t="s">
        <v>59</v>
      </c>
      <c r="D312" s="3" t="s">
        <v>28</v>
      </c>
      <c r="E312" s="3" t="s">
        <v>288</v>
      </c>
      <c r="F312" s="3"/>
      <c r="G312" s="266">
        <f t="shared" ref="G312:I312" si="156">G313</f>
        <v>50</v>
      </c>
      <c r="H312" s="266">
        <f t="shared" si="156"/>
        <v>0</v>
      </c>
      <c r="I312" s="266">
        <f t="shared" si="156"/>
        <v>50</v>
      </c>
      <c r="J312" s="98"/>
    </row>
    <row r="313" spans="1:10" ht="24" x14ac:dyDescent="0.2">
      <c r="A313" s="4" t="s">
        <v>47</v>
      </c>
      <c r="B313" s="3" t="s">
        <v>80</v>
      </c>
      <c r="C313" s="3" t="s">
        <v>59</v>
      </c>
      <c r="D313" s="3" t="s">
        <v>28</v>
      </c>
      <c r="E313" s="3" t="s">
        <v>288</v>
      </c>
      <c r="F313" s="3" t="s">
        <v>51</v>
      </c>
      <c r="G313" s="60">
        <v>50</v>
      </c>
      <c r="H313" s="266"/>
      <c r="I313" s="60">
        <f>G313+H313</f>
        <v>50</v>
      </c>
      <c r="J313" s="98"/>
    </row>
    <row r="314" spans="1:10" ht="96.75" x14ac:dyDescent="0.25">
      <c r="A314" s="4" t="s">
        <v>291</v>
      </c>
      <c r="B314" s="4" t="s">
        <v>80</v>
      </c>
      <c r="C314" s="4" t="s">
        <v>59</v>
      </c>
      <c r="D314" s="4" t="s">
        <v>28</v>
      </c>
      <c r="E314" s="4" t="s">
        <v>608</v>
      </c>
      <c r="F314" s="4"/>
      <c r="G314" s="275">
        <f>G315+G321</f>
        <v>8064.7295100000001</v>
      </c>
      <c r="H314" s="275">
        <f>H315+H321</f>
        <v>1469.8599900000002</v>
      </c>
      <c r="I314" s="275">
        <f t="shared" ref="I314" si="157">I315+I321</f>
        <v>9534.5894999999982</v>
      </c>
      <c r="J314" s="98"/>
    </row>
    <row r="315" spans="1:10" ht="48.75" x14ac:dyDescent="0.25">
      <c r="A315" s="4" t="s">
        <v>276</v>
      </c>
      <c r="B315" s="4" t="s">
        <v>80</v>
      </c>
      <c r="C315" s="4" t="s">
        <v>59</v>
      </c>
      <c r="D315" s="4" t="s">
        <v>28</v>
      </c>
      <c r="E315" s="4" t="s">
        <v>609</v>
      </c>
      <c r="F315" s="4"/>
      <c r="G315" s="275">
        <f t="shared" ref="G315" si="158">G316+G318</f>
        <v>6860.38591</v>
      </c>
      <c r="H315" s="275">
        <f>H316+H318</f>
        <v>1301.5810000000001</v>
      </c>
      <c r="I315" s="275">
        <f>I316+I318</f>
        <v>8161.9669099999992</v>
      </c>
      <c r="J315" s="98"/>
    </row>
    <row r="316" spans="1:10" ht="48.75" x14ac:dyDescent="0.25">
      <c r="A316" s="4" t="s">
        <v>235</v>
      </c>
      <c r="B316" s="4" t="s">
        <v>80</v>
      </c>
      <c r="C316" s="4" t="s">
        <v>59</v>
      </c>
      <c r="D316" s="4" t="s">
        <v>28</v>
      </c>
      <c r="E316" s="4" t="s">
        <v>610</v>
      </c>
      <c r="F316" s="4"/>
      <c r="G316" s="275">
        <f t="shared" ref="G316:I316" si="159">G317</f>
        <v>3445.8595300000002</v>
      </c>
      <c r="H316" s="275">
        <f t="shared" si="159"/>
        <v>769.58100000000002</v>
      </c>
      <c r="I316" s="275">
        <f t="shared" si="159"/>
        <v>4215.4405299999999</v>
      </c>
      <c r="J316" s="98"/>
    </row>
    <row r="317" spans="1:10" ht="60.75" x14ac:dyDescent="0.25">
      <c r="A317" s="4" t="s">
        <v>38</v>
      </c>
      <c r="B317" s="4" t="s">
        <v>80</v>
      </c>
      <c r="C317" s="4" t="s">
        <v>59</v>
      </c>
      <c r="D317" s="4" t="s">
        <v>28</v>
      </c>
      <c r="E317" s="4" t="s">
        <v>610</v>
      </c>
      <c r="F317" s="4" t="s">
        <v>34</v>
      </c>
      <c r="G317" s="271">
        <v>3445.8595300000002</v>
      </c>
      <c r="H317" s="275">
        <f>591.076+178.505</f>
        <v>769.58100000000002</v>
      </c>
      <c r="I317" s="271">
        <f>G317+H317</f>
        <v>4215.4405299999999</v>
      </c>
      <c r="J317" s="98"/>
    </row>
    <row r="318" spans="1:10" ht="36.75" x14ac:dyDescent="0.25">
      <c r="A318" s="4" t="s">
        <v>236</v>
      </c>
      <c r="B318" s="4" t="s">
        <v>80</v>
      </c>
      <c r="C318" s="4" t="s">
        <v>59</v>
      </c>
      <c r="D318" s="4" t="s">
        <v>28</v>
      </c>
      <c r="E318" s="4" t="s">
        <v>611</v>
      </c>
      <c r="F318" s="4"/>
      <c r="G318" s="275">
        <f t="shared" ref="G318" si="160">G319+G320</f>
        <v>3414.5263799999998</v>
      </c>
      <c r="H318" s="275">
        <f>H319+H320</f>
        <v>532</v>
      </c>
      <c r="I318" s="275">
        <f>I319+I320</f>
        <v>3946.5263799999998</v>
      </c>
      <c r="J318" s="98"/>
    </row>
    <row r="319" spans="1:10" ht="24.75" x14ac:dyDescent="0.25">
      <c r="A319" s="4" t="s">
        <v>47</v>
      </c>
      <c r="B319" s="4" t="s">
        <v>80</v>
      </c>
      <c r="C319" s="4" t="s">
        <v>59</v>
      </c>
      <c r="D319" s="4" t="s">
        <v>28</v>
      </c>
      <c r="E319" s="4" t="s">
        <v>611</v>
      </c>
      <c r="F319" s="4" t="s">
        <v>51</v>
      </c>
      <c r="G319" s="271">
        <v>2844.9263799999999</v>
      </c>
      <c r="H319" s="275">
        <f>500+32</f>
        <v>532</v>
      </c>
      <c r="I319" s="271">
        <f>G319+H319</f>
        <v>3376.9263799999999</v>
      </c>
      <c r="J319" s="98"/>
    </row>
    <row r="320" spans="1:10" ht="24.75" x14ac:dyDescent="0.25">
      <c r="A320" s="4" t="s">
        <v>73</v>
      </c>
      <c r="B320" s="4" t="s">
        <v>80</v>
      </c>
      <c r="C320" s="4" t="s">
        <v>59</v>
      </c>
      <c r="D320" s="4" t="s">
        <v>28</v>
      </c>
      <c r="E320" s="4" t="s">
        <v>611</v>
      </c>
      <c r="F320" s="4" t="s">
        <v>80</v>
      </c>
      <c r="G320" s="271">
        <v>569.6</v>
      </c>
      <c r="H320" s="275"/>
      <c r="I320" s="271">
        <f>G320+H320</f>
        <v>569.6</v>
      </c>
      <c r="J320" s="98"/>
    </row>
    <row r="321" spans="1:10" ht="24.75" x14ac:dyDescent="0.25">
      <c r="A321" s="4" t="s">
        <v>545</v>
      </c>
      <c r="B321" s="3" t="s">
        <v>80</v>
      </c>
      <c r="C321" s="3" t="s">
        <v>59</v>
      </c>
      <c r="D321" s="3" t="s">
        <v>28</v>
      </c>
      <c r="E321" s="3" t="s">
        <v>612</v>
      </c>
      <c r="F321" s="3"/>
      <c r="G321" s="271">
        <f>G322</f>
        <v>1204.3435999999999</v>
      </c>
      <c r="H321" s="271">
        <f t="shared" ref="H321:I321" si="161">H322</f>
        <v>168.27899000000002</v>
      </c>
      <c r="I321" s="271">
        <f t="shared" si="161"/>
        <v>1372.6225899999999</v>
      </c>
      <c r="J321" s="98"/>
    </row>
    <row r="322" spans="1:10" ht="60.75" x14ac:dyDescent="0.25">
      <c r="A322" s="4" t="s">
        <v>38</v>
      </c>
      <c r="B322" s="3" t="s">
        <v>80</v>
      </c>
      <c r="C322" s="3" t="s">
        <v>59</v>
      </c>
      <c r="D322" s="3" t="s">
        <v>28</v>
      </c>
      <c r="E322" s="3" t="s">
        <v>612</v>
      </c>
      <c r="F322" s="3">
        <v>100</v>
      </c>
      <c r="G322" s="271">
        <v>1204.3435999999999</v>
      </c>
      <c r="H322" s="272">
        <f>129.24654+39.03245</f>
        <v>168.27899000000002</v>
      </c>
      <c r="I322" s="271">
        <f t="shared" ref="I322" si="162">G322+H322</f>
        <v>1372.6225899999999</v>
      </c>
      <c r="J322" s="98"/>
    </row>
    <row r="323" spans="1:10" ht="72" x14ac:dyDescent="0.2">
      <c r="A323" s="4" t="s">
        <v>407</v>
      </c>
      <c r="B323" s="3" t="s">
        <v>80</v>
      </c>
      <c r="C323" s="3" t="s">
        <v>59</v>
      </c>
      <c r="D323" s="3" t="s">
        <v>28</v>
      </c>
      <c r="E323" s="3" t="s">
        <v>408</v>
      </c>
      <c r="F323" s="3"/>
      <c r="G323" s="266">
        <f t="shared" ref="G323:I324" si="163">G324</f>
        <v>8030.6580000000004</v>
      </c>
      <c r="H323" s="266">
        <f t="shared" si="163"/>
        <v>2579.3200999999999</v>
      </c>
      <c r="I323" s="266">
        <f t="shared" si="163"/>
        <v>10609.9781</v>
      </c>
      <c r="J323" s="98"/>
    </row>
    <row r="324" spans="1:10" ht="60" x14ac:dyDescent="0.2">
      <c r="A324" s="4" t="s">
        <v>96</v>
      </c>
      <c r="B324" s="3" t="s">
        <v>80</v>
      </c>
      <c r="C324" s="3" t="s">
        <v>59</v>
      </c>
      <c r="D324" s="3" t="s">
        <v>28</v>
      </c>
      <c r="E324" s="3" t="s">
        <v>409</v>
      </c>
      <c r="F324" s="3"/>
      <c r="G324" s="266">
        <f t="shared" si="163"/>
        <v>8030.6580000000004</v>
      </c>
      <c r="H324" s="266">
        <f t="shared" si="163"/>
        <v>2579.3200999999999</v>
      </c>
      <c r="I324" s="266">
        <f t="shared" si="163"/>
        <v>10609.9781</v>
      </c>
      <c r="J324" s="98"/>
    </row>
    <row r="325" spans="1:10" ht="48" x14ac:dyDescent="0.2">
      <c r="A325" s="4" t="s">
        <v>292</v>
      </c>
      <c r="B325" s="3" t="s">
        <v>80</v>
      </c>
      <c r="C325" s="3" t="s">
        <v>59</v>
      </c>
      <c r="D325" s="3" t="s">
        <v>28</v>
      </c>
      <c r="E325" s="3" t="s">
        <v>410</v>
      </c>
      <c r="F325" s="3"/>
      <c r="G325" s="266">
        <f t="shared" ref="G325:I325" si="164">G326+G327</f>
        <v>8030.6580000000004</v>
      </c>
      <c r="H325" s="266">
        <f>H326+H327</f>
        <v>2579.3200999999999</v>
      </c>
      <c r="I325" s="266">
        <f t="shared" si="164"/>
        <v>10609.9781</v>
      </c>
      <c r="J325" s="98"/>
    </row>
    <row r="326" spans="1:10" ht="24" x14ac:dyDescent="0.2">
      <c r="A326" s="4" t="s">
        <v>47</v>
      </c>
      <c r="B326" s="3" t="s">
        <v>80</v>
      </c>
      <c r="C326" s="3" t="s">
        <v>59</v>
      </c>
      <c r="D326" s="3" t="s">
        <v>28</v>
      </c>
      <c r="E326" s="3" t="s">
        <v>410</v>
      </c>
      <c r="F326" s="3" t="s">
        <v>51</v>
      </c>
      <c r="G326" s="60">
        <v>7361.1480000000001</v>
      </c>
      <c r="H326" s="266">
        <f>1557.171+241.6811+76.878</f>
        <v>1875.7301</v>
      </c>
      <c r="I326" s="60">
        <f>G326+H326</f>
        <v>9236.8780999999999</v>
      </c>
      <c r="J326" s="98"/>
    </row>
    <row r="327" spans="1:10" ht="24" x14ac:dyDescent="0.2">
      <c r="A327" s="7" t="s">
        <v>73</v>
      </c>
      <c r="B327" s="3" t="s">
        <v>80</v>
      </c>
      <c r="C327" s="3" t="s">
        <v>59</v>
      </c>
      <c r="D327" s="3" t="s">
        <v>28</v>
      </c>
      <c r="E327" s="3" t="s">
        <v>410</v>
      </c>
      <c r="F327" s="3" t="s">
        <v>80</v>
      </c>
      <c r="G327" s="60">
        <f>649.67+19.84</f>
        <v>669.51</v>
      </c>
      <c r="H327" s="266">
        <v>703.59</v>
      </c>
      <c r="I327" s="60">
        <f>G327+H327</f>
        <v>1373.1</v>
      </c>
      <c r="J327" s="98"/>
    </row>
    <row r="328" spans="1:10" ht="72" x14ac:dyDescent="0.2">
      <c r="A328" s="4" t="s">
        <v>411</v>
      </c>
      <c r="B328" s="3" t="s">
        <v>80</v>
      </c>
      <c r="C328" s="3" t="s">
        <v>59</v>
      </c>
      <c r="D328" s="3" t="s">
        <v>28</v>
      </c>
      <c r="E328" s="3" t="s">
        <v>412</v>
      </c>
      <c r="F328" s="3"/>
      <c r="G328" s="266">
        <f>G329</f>
        <v>1534.09</v>
      </c>
      <c r="H328" s="266">
        <f t="shared" ref="H328:I329" si="165">H329</f>
        <v>-1175.46</v>
      </c>
      <c r="I328" s="266">
        <f t="shared" si="165"/>
        <v>358.62999999999988</v>
      </c>
      <c r="J328" s="98"/>
    </row>
    <row r="329" spans="1:10" ht="36" x14ac:dyDescent="0.2">
      <c r="A329" s="4" t="s">
        <v>101</v>
      </c>
      <c r="B329" s="3" t="s">
        <v>80</v>
      </c>
      <c r="C329" s="3" t="s">
        <v>59</v>
      </c>
      <c r="D329" s="3" t="s">
        <v>28</v>
      </c>
      <c r="E329" s="3" t="s">
        <v>413</v>
      </c>
      <c r="F329" s="3"/>
      <c r="G329" s="266">
        <f>G330</f>
        <v>1534.09</v>
      </c>
      <c r="H329" s="266">
        <f t="shared" si="165"/>
        <v>-1175.46</v>
      </c>
      <c r="I329" s="266">
        <f t="shared" si="165"/>
        <v>358.62999999999988</v>
      </c>
      <c r="J329" s="98"/>
    </row>
    <row r="330" spans="1:10" ht="36" x14ac:dyDescent="0.2">
      <c r="A330" s="4" t="s">
        <v>293</v>
      </c>
      <c r="B330" s="3" t="s">
        <v>80</v>
      </c>
      <c r="C330" s="3" t="s">
        <v>59</v>
      </c>
      <c r="D330" s="3" t="s">
        <v>28</v>
      </c>
      <c r="E330" s="3" t="s">
        <v>414</v>
      </c>
      <c r="F330" s="3"/>
      <c r="G330" s="266">
        <f t="shared" ref="G330:I330" si="166">G331</f>
        <v>1534.09</v>
      </c>
      <c r="H330" s="266">
        <f t="shared" si="166"/>
        <v>-1175.46</v>
      </c>
      <c r="I330" s="266">
        <f t="shared" si="166"/>
        <v>358.62999999999988</v>
      </c>
      <c r="J330" s="98"/>
    </row>
    <row r="331" spans="1:10" ht="24" x14ac:dyDescent="0.2">
      <c r="A331" s="4" t="s">
        <v>47</v>
      </c>
      <c r="B331" s="3" t="s">
        <v>80</v>
      </c>
      <c r="C331" s="3" t="s">
        <v>59</v>
      </c>
      <c r="D331" s="3" t="s">
        <v>28</v>
      </c>
      <c r="E331" s="3" t="s">
        <v>414</v>
      </c>
      <c r="F331" s="3" t="s">
        <v>51</v>
      </c>
      <c r="G331" s="60">
        <v>1534.09</v>
      </c>
      <c r="H331" s="266">
        <f>-1004.46-180+9</f>
        <v>-1175.46</v>
      </c>
      <c r="I331" s="60">
        <f>G331+H331</f>
        <v>358.62999999999988</v>
      </c>
      <c r="J331" s="98"/>
    </row>
    <row r="332" spans="1:10" ht="12.75" x14ac:dyDescent="0.2">
      <c r="A332" s="4" t="s">
        <v>100</v>
      </c>
      <c r="B332" s="3" t="s">
        <v>80</v>
      </c>
      <c r="C332" s="3" t="s">
        <v>36</v>
      </c>
      <c r="D332" s="3"/>
      <c r="E332" s="3"/>
      <c r="F332" s="3"/>
      <c r="G332" s="270">
        <f>G338+G374+G333</f>
        <v>20149.076359999999</v>
      </c>
      <c r="H332" s="270">
        <f>H338+H374+H333</f>
        <v>973.21199999999988</v>
      </c>
      <c r="I332" s="270">
        <f>I338+I374+I333</f>
        <v>21122.288359999999</v>
      </c>
      <c r="J332" s="98"/>
    </row>
    <row r="333" spans="1:10" ht="12.75" x14ac:dyDescent="0.2">
      <c r="A333" s="4" t="s">
        <v>99</v>
      </c>
      <c r="B333" s="3" t="s">
        <v>80</v>
      </c>
      <c r="C333" s="3" t="s">
        <v>36</v>
      </c>
      <c r="D333" s="3" t="s">
        <v>15</v>
      </c>
      <c r="E333" s="3"/>
      <c r="F333" s="3"/>
      <c r="G333" s="270">
        <f>G334</f>
        <v>11</v>
      </c>
      <c r="H333" s="270">
        <f t="shared" ref="H333:I333" si="167">H334</f>
        <v>0</v>
      </c>
      <c r="I333" s="270">
        <f t="shared" si="167"/>
        <v>11</v>
      </c>
      <c r="J333" s="98"/>
    </row>
    <row r="334" spans="1:10" ht="72.75" x14ac:dyDescent="0.25">
      <c r="A334" s="4" t="s">
        <v>418</v>
      </c>
      <c r="B334" s="3" t="s">
        <v>80</v>
      </c>
      <c r="C334" s="3" t="s">
        <v>36</v>
      </c>
      <c r="D334" s="3" t="s">
        <v>15</v>
      </c>
      <c r="E334" s="3" t="s">
        <v>91</v>
      </c>
      <c r="F334" s="3"/>
      <c r="G334" s="299">
        <f t="shared" ref="G334:I336" si="168">G335</f>
        <v>11</v>
      </c>
      <c r="H334" s="299">
        <f t="shared" si="168"/>
        <v>0</v>
      </c>
      <c r="I334" s="299">
        <f t="shared" si="168"/>
        <v>11</v>
      </c>
      <c r="J334" s="98"/>
    </row>
    <row r="335" spans="1:10" ht="36.75" x14ac:dyDescent="0.25">
      <c r="A335" s="4" t="s">
        <v>241</v>
      </c>
      <c r="B335" s="3" t="s">
        <v>80</v>
      </c>
      <c r="C335" s="3" t="s">
        <v>36</v>
      </c>
      <c r="D335" s="3" t="s">
        <v>15</v>
      </c>
      <c r="E335" s="3" t="s">
        <v>267</v>
      </c>
      <c r="F335" s="3"/>
      <c r="G335" s="299">
        <f t="shared" si="168"/>
        <v>11</v>
      </c>
      <c r="H335" s="299">
        <f t="shared" si="168"/>
        <v>0</v>
      </c>
      <c r="I335" s="299">
        <f t="shared" si="168"/>
        <v>11</v>
      </c>
      <c r="J335" s="98"/>
    </row>
    <row r="336" spans="1:10" ht="24.75" x14ac:dyDescent="0.25">
      <c r="A336" s="4" t="s">
        <v>294</v>
      </c>
      <c r="B336" s="3" t="s">
        <v>80</v>
      </c>
      <c r="C336" s="3" t="s">
        <v>36</v>
      </c>
      <c r="D336" s="3" t="s">
        <v>15</v>
      </c>
      <c r="E336" s="3" t="s">
        <v>297</v>
      </c>
      <c r="F336" s="3"/>
      <c r="G336" s="299">
        <f t="shared" si="168"/>
        <v>11</v>
      </c>
      <c r="H336" s="299">
        <f t="shared" si="168"/>
        <v>0</v>
      </c>
      <c r="I336" s="299">
        <f t="shared" si="168"/>
        <v>11</v>
      </c>
      <c r="J336" s="98"/>
    </row>
    <row r="337" spans="1:10" s="36" customFormat="1" ht="24.75" x14ac:dyDescent="0.25">
      <c r="A337" s="4" t="s">
        <v>47</v>
      </c>
      <c r="B337" s="3" t="s">
        <v>80</v>
      </c>
      <c r="C337" s="3" t="s">
        <v>36</v>
      </c>
      <c r="D337" s="3" t="s">
        <v>15</v>
      </c>
      <c r="E337" s="3" t="s">
        <v>297</v>
      </c>
      <c r="F337" s="3" t="s">
        <v>51</v>
      </c>
      <c r="G337" s="271">
        <v>11</v>
      </c>
      <c r="H337" s="271"/>
      <c r="I337" s="271">
        <f>G337+H337</f>
        <v>11</v>
      </c>
      <c r="J337" s="97"/>
    </row>
    <row r="338" spans="1:10" ht="12.75" x14ac:dyDescent="0.2">
      <c r="A338" s="4" t="s">
        <v>98</v>
      </c>
      <c r="B338" s="3" t="s">
        <v>80</v>
      </c>
      <c r="C338" s="3" t="s">
        <v>36</v>
      </c>
      <c r="D338" s="3" t="s">
        <v>27</v>
      </c>
      <c r="E338" s="3"/>
      <c r="F338" s="3"/>
      <c r="G338" s="264">
        <f>G339+G343+G365</f>
        <v>19460.256359999999</v>
      </c>
      <c r="H338" s="264">
        <f t="shared" ref="H338:I338" si="169">H339+H343+H365</f>
        <v>1164.5999999999999</v>
      </c>
      <c r="I338" s="264">
        <f t="shared" si="169"/>
        <v>20624.856359999998</v>
      </c>
      <c r="J338" s="98"/>
    </row>
    <row r="339" spans="1:10" ht="72" x14ac:dyDescent="0.2">
      <c r="A339" s="4" t="s">
        <v>268</v>
      </c>
      <c r="B339" s="3">
        <v>800</v>
      </c>
      <c r="C339" s="3" t="s">
        <v>36</v>
      </c>
      <c r="D339" s="3" t="s">
        <v>27</v>
      </c>
      <c r="E339" s="3" t="s">
        <v>63</v>
      </c>
      <c r="F339" s="3"/>
      <c r="G339" s="240">
        <f t="shared" ref="G339:I340" si="170">G340</f>
        <v>7518.7965599999998</v>
      </c>
      <c r="H339" s="240">
        <f t="shared" si="170"/>
        <v>0</v>
      </c>
      <c r="I339" s="240">
        <f t="shared" si="170"/>
        <v>7518.7965599999998</v>
      </c>
      <c r="J339" s="98"/>
    </row>
    <row r="340" spans="1:10" ht="24" x14ac:dyDescent="0.2">
      <c r="A340" s="4" t="s">
        <v>87</v>
      </c>
      <c r="B340" s="3">
        <v>800</v>
      </c>
      <c r="C340" s="3" t="s">
        <v>36</v>
      </c>
      <c r="D340" s="3" t="s">
        <v>27</v>
      </c>
      <c r="E340" s="3" t="s">
        <v>295</v>
      </c>
      <c r="F340" s="3"/>
      <c r="G340" s="265">
        <f>G341</f>
        <v>7518.7965599999998</v>
      </c>
      <c r="H340" s="265">
        <f t="shared" si="170"/>
        <v>0</v>
      </c>
      <c r="I340" s="265">
        <f t="shared" si="170"/>
        <v>7518.7965599999998</v>
      </c>
      <c r="J340" s="98"/>
    </row>
    <row r="341" spans="1:10" ht="48" x14ac:dyDescent="0.2">
      <c r="A341" s="4" t="s">
        <v>419</v>
      </c>
      <c r="B341" s="3">
        <v>800</v>
      </c>
      <c r="C341" s="3" t="s">
        <v>36</v>
      </c>
      <c r="D341" s="3" t="s">
        <v>27</v>
      </c>
      <c r="E341" s="3" t="s">
        <v>567</v>
      </c>
      <c r="F341" s="3"/>
      <c r="G341" s="240">
        <f t="shared" ref="G341:I341" si="171">G342</f>
        <v>7518.7965599999998</v>
      </c>
      <c r="H341" s="240">
        <f t="shared" si="171"/>
        <v>0</v>
      </c>
      <c r="I341" s="240">
        <f t="shared" si="171"/>
        <v>7518.7965599999998</v>
      </c>
      <c r="J341" s="98"/>
    </row>
    <row r="342" spans="1:10" ht="24" x14ac:dyDescent="0.2">
      <c r="A342" s="4" t="s">
        <v>70</v>
      </c>
      <c r="B342" s="3">
        <v>800</v>
      </c>
      <c r="C342" s="3" t="s">
        <v>36</v>
      </c>
      <c r="D342" s="3" t="s">
        <v>27</v>
      </c>
      <c r="E342" s="3" t="s">
        <v>567</v>
      </c>
      <c r="F342" s="3">
        <v>400</v>
      </c>
      <c r="G342" s="60">
        <v>7518.7965599999998</v>
      </c>
      <c r="H342" s="240">
        <f>0.02105-0.02105</f>
        <v>0</v>
      </c>
      <c r="I342" s="60">
        <f>G342+H342</f>
        <v>7518.7965599999998</v>
      </c>
      <c r="J342" s="98"/>
    </row>
    <row r="343" spans="1:10" ht="72.75" x14ac:dyDescent="0.25">
      <c r="A343" s="4" t="s">
        <v>420</v>
      </c>
      <c r="B343" s="3" t="s">
        <v>80</v>
      </c>
      <c r="C343" s="3" t="s">
        <v>36</v>
      </c>
      <c r="D343" s="3" t="s">
        <v>27</v>
      </c>
      <c r="E343" s="3" t="s">
        <v>91</v>
      </c>
      <c r="F343" s="3"/>
      <c r="G343" s="275">
        <f>G344+G351+G360</f>
        <v>6451.6197999999995</v>
      </c>
      <c r="H343" s="275">
        <f>H344+H351+H360</f>
        <v>1164.5999999999999</v>
      </c>
      <c r="I343" s="275">
        <f>I344+I351+I360</f>
        <v>7616.2197999999989</v>
      </c>
      <c r="J343" s="98"/>
    </row>
    <row r="344" spans="1:10" ht="36.75" x14ac:dyDescent="0.25">
      <c r="A344" s="4" t="s">
        <v>94</v>
      </c>
      <c r="B344" s="3" t="s">
        <v>80</v>
      </c>
      <c r="C344" s="3" t="s">
        <v>36</v>
      </c>
      <c r="D344" s="3" t="s">
        <v>27</v>
      </c>
      <c r="E344" s="3" t="s">
        <v>421</v>
      </c>
      <c r="F344" s="3"/>
      <c r="G344" s="275">
        <f>G348+G345</f>
        <v>2739.4399999999996</v>
      </c>
      <c r="H344" s="275">
        <f>H348+H345</f>
        <v>430</v>
      </c>
      <c r="I344" s="275">
        <f>I348+I345</f>
        <v>3169.4399999999996</v>
      </c>
      <c r="J344" s="98"/>
    </row>
    <row r="345" spans="1:10" ht="24.75" x14ac:dyDescent="0.25">
      <c r="A345" s="4" t="s">
        <v>422</v>
      </c>
      <c r="B345" s="3" t="s">
        <v>80</v>
      </c>
      <c r="C345" s="3" t="s">
        <v>36</v>
      </c>
      <c r="D345" s="3" t="s">
        <v>27</v>
      </c>
      <c r="E345" s="3" t="s">
        <v>425</v>
      </c>
      <c r="F345" s="3"/>
      <c r="G345" s="275">
        <f>G347+G346</f>
        <v>1120.3399999999999</v>
      </c>
      <c r="H345" s="275">
        <f>H347+H346</f>
        <v>550</v>
      </c>
      <c r="I345" s="275">
        <f t="shared" ref="I345" si="172">I347+I346</f>
        <v>1670.34</v>
      </c>
      <c r="J345" s="98"/>
    </row>
    <row r="346" spans="1:10" ht="24.75" x14ac:dyDescent="0.25">
      <c r="A346" s="4" t="s">
        <v>47</v>
      </c>
      <c r="B346" s="3" t="s">
        <v>80</v>
      </c>
      <c r="C346" s="3" t="s">
        <v>36</v>
      </c>
      <c r="D346" s="3" t="s">
        <v>27</v>
      </c>
      <c r="E346" s="3" t="s">
        <v>425</v>
      </c>
      <c r="F346" s="3" t="s">
        <v>51</v>
      </c>
      <c r="G346" s="271">
        <v>15</v>
      </c>
      <c r="H346" s="275">
        <f>300</f>
        <v>300</v>
      </c>
      <c r="I346" s="271">
        <f>G346+H346</f>
        <v>315</v>
      </c>
      <c r="J346" s="98"/>
    </row>
    <row r="347" spans="1:10" ht="24.75" x14ac:dyDescent="0.25">
      <c r="A347" s="4" t="s">
        <v>70</v>
      </c>
      <c r="B347" s="3" t="s">
        <v>80</v>
      </c>
      <c r="C347" s="3" t="s">
        <v>36</v>
      </c>
      <c r="D347" s="3" t="s">
        <v>27</v>
      </c>
      <c r="E347" s="3" t="s">
        <v>425</v>
      </c>
      <c r="F347" s="3" t="s">
        <v>69</v>
      </c>
      <c r="G347" s="275">
        <v>1105.3399999999999</v>
      </c>
      <c r="H347" s="275">
        <f>250</f>
        <v>250</v>
      </c>
      <c r="I347" s="275">
        <f>G347+H347</f>
        <v>1355.34</v>
      </c>
      <c r="J347" s="98"/>
    </row>
    <row r="348" spans="1:10" ht="48.75" x14ac:dyDescent="0.25">
      <c r="A348" s="4" t="s">
        <v>296</v>
      </c>
      <c r="B348" s="3" t="s">
        <v>80</v>
      </c>
      <c r="C348" s="3" t="s">
        <v>36</v>
      </c>
      <c r="D348" s="3" t="s">
        <v>27</v>
      </c>
      <c r="E348" s="3" t="s">
        <v>426</v>
      </c>
      <c r="F348" s="3"/>
      <c r="G348" s="275">
        <f>G349+G350</f>
        <v>1619.1</v>
      </c>
      <c r="H348" s="275">
        <f t="shared" ref="H348:I348" si="173">H349+H350</f>
        <v>-120</v>
      </c>
      <c r="I348" s="275">
        <f t="shared" si="173"/>
        <v>1499.1</v>
      </c>
      <c r="J348" s="98"/>
    </row>
    <row r="349" spans="1:10" ht="24.75" x14ac:dyDescent="0.25">
      <c r="A349" s="4" t="s">
        <v>47</v>
      </c>
      <c r="B349" s="3" t="s">
        <v>80</v>
      </c>
      <c r="C349" s="3" t="s">
        <v>36</v>
      </c>
      <c r="D349" s="3" t="s">
        <v>27</v>
      </c>
      <c r="E349" s="3" t="s">
        <v>426</v>
      </c>
      <c r="F349" s="3" t="s">
        <v>51</v>
      </c>
      <c r="G349" s="271">
        <v>1619.1</v>
      </c>
      <c r="H349" s="275">
        <f>-142.5</f>
        <v>-142.5</v>
      </c>
      <c r="I349" s="271">
        <f>G349+H349</f>
        <v>1476.6</v>
      </c>
      <c r="J349" s="98"/>
    </row>
    <row r="350" spans="1:10" ht="24.75" x14ac:dyDescent="0.25">
      <c r="A350" s="4" t="s">
        <v>73</v>
      </c>
      <c r="B350" s="3" t="s">
        <v>80</v>
      </c>
      <c r="C350" s="3" t="s">
        <v>36</v>
      </c>
      <c r="D350" s="3" t="s">
        <v>27</v>
      </c>
      <c r="E350" s="3" t="s">
        <v>426</v>
      </c>
      <c r="F350" s="3" t="s">
        <v>80</v>
      </c>
      <c r="G350" s="271"/>
      <c r="H350" s="275">
        <v>22.5</v>
      </c>
      <c r="I350" s="271">
        <f>G350+H350</f>
        <v>22.5</v>
      </c>
      <c r="J350" s="98"/>
    </row>
    <row r="351" spans="1:10" ht="36.75" x14ac:dyDescent="0.25">
      <c r="A351" s="4" t="s">
        <v>298</v>
      </c>
      <c r="B351" s="3" t="s">
        <v>80</v>
      </c>
      <c r="C351" s="3" t="s">
        <v>36</v>
      </c>
      <c r="D351" s="3" t="s">
        <v>27</v>
      </c>
      <c r="E351" s="3" t="s">
        <v>299</v>
      </c>
      <c r="F351" s="3"/>
      <c r="G351" s="275">
        <f>G352+G355+G358</f>
        <v>2953.5044900000003</v>
      </c>
      <c r="H351" s="275">
        <f>H352+H355+H358</f>
        <v>-40.900000000000048</v>
      </c>
      <c r="I351" s="275">
        <f t="shared" ref="I351" si="174">I352+I355+I358</f>
        <v>2912.6044899999997</v>
      </c>
      <c r="J351" s="98"/>
    </row>
    <row r="352" spans="1:10" ht="24.75" x14ac:dyDescent="0.25">
      <c r="A352" s="4" t="s">
        <v>423</v>
      </c>
      <c r="B352" s="3" t="s">
        <v>80</v>
      </c>
      <c r="C352" s="3" t="s">
        <v>36</v>
      </c>
      <c r="D352" s="3" t="s">
        <v>27</v>
      </c>
      <c r="E352" s="3" t="s">
        <v>424</v>
      </c>
      <c r="F352" s="3"/>
      <c r="G352" s="275">
        <f>G354+G353</f>
        <v>872.08</v>
      </c>
      <c r="H352" s="275">
        <f t="shared" ref="H352:I352" si="175">H354+H353</f>
        <v>25.334489999999999</v>
      </c>
      <c r="I352" s="275">
        <f t="shared" si="175"/>
        <v>897.41449</v>
      </c>
      <c r="J352" s="98"/>
    </row>
    <row r="353" spans="1:10" ht="24.75" x14ac:dyDescent="0.25">
      <c r="A353" s="4" t="s">
        <v>47</v>
      </c>
      <c r="B353" s="3" t="s">
        <v>80</v>
      </c>
      <c r="C353" s="3" t="s">
        <v>36</v>
      </c>
      <c r="D353" s="3" t="s">
        <v>27</v>
      </c>
      <c r="E353" s="3" t="s">
        <v>424</v>
      </c>
      <c r="F353" s="3" t="s">
        <v>51</v>
      </c>
      <c r="G353" s="275"/>
      <c r="H353" s="275">
        <f>25.33449</f>
        <v>25.334489999999999</v>
      </c>
      <c r="I353" s="275">
        <f>G353+H353</f>
        <v>25.334489999999999</v>
      </c>
      <c r="J353" s="98"/>
    </row>
    <row r="354" spans="1:10" ht="24.75" x14ac:dyDescent="0.25">
      <c r="A354" s="4" t="s">
        <v>73</v>
      </c>
      <c r="B354" s="3" t="s">
        <v>80</v>
      </c>
      <c r="C354" s="3" t="s">
        <v>36</v>
      </c>
      <c r="D354" s="3" t="s">
        <v>27</v>
      </c>
      <c r="E354" s="3" t="s">
        <v>424</v>
      </c>
      <c r="F354" s="3" t="s">
        <v>80</v>
      </c>
      <c r="G354" s="271">
        <v>872.08</v>
      </c>
      <c r="H354" s="275"/>
      <c r="I354" s="271">
        <f>G354+H354</f>
        <v>872.08</v>
      </c>
      <c r="J354" s="98"/>
    </row>
    <row r="355" spans="1:10" ht="60" x14ac:dyDescent="0.25">
      <c r="A355" s="7" t="s">
        <v>350</v>
      </c>
      <c r="B355" s="3" t="s">
        <v>80</v>
      </c>
      <c r="C355" s="3" t="s">
        <v>36</v>
      </c>
      <c r="D355" s="3" t="s">
        <v>27</v>
      </c>
      <c r="E355" s="3" t="s">
        <v>526</v>
      </c>
      <c r="F355" s="3"/>
      <c r="G355" s="275">
        <f>G356+G357</f>
        <v>1290.7244900000001</v>
      </c>
      <c r="H355" s="275">
        <f t="shared" ref="H355:I355" si="176">H356+H357</f>
        <v>-66.234490000000051</v>
      </c>
      <c r="I355" s="275">
        <f t="shared" si="176"/>
        <v>1224.49</v>
      </c>
      <c r="J355" s="98"/>
    </row>
    <row r="356" spans="1:10" ht="24.75" x14ac:dyDescent="0.25">
      <c r="A356" s="4" t="s">
        <v>70</v>
      </c>
      <c r="B356" s="3" t="s">
        <v>80</v>
      </c>
      <c r="C356" s="3" t="s">
        <v>36</v>
      </c>
      <c r="D356" s="3" t="s">
        <v>27</v>
      </c>
      <c r="E356" s="3" t="s">
        <v>526</v>
      </c>
      <c r="F356" s="3" t="s">
        <v>51</v>
      </c>
      <c r="G356" s="271">
        <v>1290.7244900000001</v>
      </c>
      <c r="H356" s="275">
        <f>-40.9-25.33449-1224.49</f>
        <v>-1290.7244900000001</v>
      </c>
      <c r="I356" s="289">
        <f>G356+H356</f>
        <v>0</v>
      </c>
      <c r="J356" s="98"/>
    </row>
    <row r="357" spans="1:10" ht="24.75" x14ac:dyDescent="0.25">
      <c r="A357" s="4" t="s">
        <v>73</v>
      </c>
      <c r="B357" s="3" t="s">
        <v>80</v>
      </c>
      <c r="C357" s="3" t="s">
        <v>36</v>
      </c>
      <c r="D357" s="3" t="s">
        <v>27</v>
      </c>
      <c r="E357" s="3" t="s">
        <v>526</v>
      </c>
      <c r="F357" s="3" t="s">
        <v>80</v>
      </c>
      <c r="G357" s="271"/>
      <c r="H357" s="275">
        <v>1224.49</v>
      </c>
      <c r="I357" s="271">
        <f>G357+H357</f>
        <v>1224.49</v>
      </c>
      <c r="J357" s="98"/>
    </row>
    <row r="358" spans="1:10" ht="72.75" x14ac:dyDescent="0.25">
      <c r="A358" s="4" t="s">
        <v>342</v>
      </c>
      <c r="B358" s="3" t="s">
        <v>80</v>
      </c>
      <c r="C358" s="3" t="s">
        <v>36</v>
      </c>
      <c r="D358" s="3" t="s">
        <v>27</v>
      </c>
      <c r="E358" s="3" t="s">
        <v>93</v>
      </c>
      <c r="F358" s="3"/>
      <c r="G358" s="275">
        <f>G359</f>
        <v>790.7</v>
      </c>
      <c r="H358" s="275">
        <f t="shared" ref="H358:I358" si="177">H359</f>
        <v>0</v>
      </c>
      <c r="I358" s="275">
        <f t="shared" si="177"/>
        <v>790.7</v>
      </c>
      <c r="J358" s="98"/>
    </row>
    <row r="359" spans="1:10" ht="24.75" x14ac:dyDescent="0.25">
      <c r="A359" s="4" t="s">
        <v>73</v>
      </c>
      <c r="B359" s="3" t="s">
        <v>80</v>
      </c>
      <c r="C359" s="3" t="s">
        <v>36</v>
      </c>
      <c r="D359" s="3" t="s">
        <v>27</v>
      </c>
      <c r="E359" s="3" t="s">
        <v>93</v>
      </c>
      <c r="F359" s="3" t="s">
        <v>80</v>
      </c>
      <c r="G359" s="271">
        <v>790.7</v>
      </c>
      <c r="H359" s="275"/>
      <c r="I359" s="271">
        <f>G359+H359</f>
        <v>790.7</v>
      </c>
      <c r="J359" s="98"/>
    </row>
    <row r="360" spans="1:10" ht="36.75" x14ac:dyDescent="0.25">
      <c r="A360" s="4" t="s">
        <v>229</v>
      </c>
      <c r="B360" s="3" t="s">
        <v>80</v>
      </c>
      <c r="C360" s="3" t="s">
        <v>36</v>
      </c>
      <c r="D360" s="3" t="s">
        <v>27</v>
      </c>
      <c r="E360" s="3" t="s">
        <v>300</v>
      </c>
      <c r="F360" s="3"/>
      <c r="G360" s="272">
        <f>G363+G361</f>
        <v>758.67530999999997</v>
      </c>
      <c r="H360" s="272">
        <f t="shared" ref="H360:I360" si="178">H363+H361</f>
        <v>775.5</v>
      </c>
      <c r="I360" s="272">
        <f t="shared" si="178"/>
        <v>1534.1753100000001</v>
      </c>
      <c r="J360" s="98"/>
    </row>
    <row r="361" spans="1:10" ht="24.75" x14ac:dyDescent="0.25">
      <c r="A361" s="4" t="s">
        <v>613</v>
      </c>
      <c r="B361" s="3" t="s">
        <v>80</v>
      </c>
      <c r="C361" s="3" t="s">
        <v>36</v>
      </c>
      <c r="D361" s="3" t="s">
        <v>27</v>
      </c>
      <c r="E361" s="3" t="s">
        <v>614</v>
      </c>
      <c r="F361" s="3"/>
      <c r="G361" s="272">
        <f>G362</f>
        <v>530</v>
      </c>
      <c r="H361" s="272">
        <f t="shared" ref="H361:I361" si="179">H362</f>
        <v>0</v>
      </c>
      <c r="I361" s="272">
        <f t="shared" si="179"/>
        <v>530</v>
      </c>
      <c r="J361" s="98"/>
    </row>
    <row r="362" spans="1:10" ht="24.75" x14ac:dyDescent="0.25">
      <c r="A362" s="4" t="s">
        <v>47</v>
      </c>
      <c r="B362" s="3" t="s">
        <v>80</v>
      </c>
      <c r="C362" s="3" t="s">
        <v>36</v>
      </c>
      <c r="D362" s="3" t="s">
        <v>27</v>
      </c>
      <c r="E362" s="3" t="s">
        <v>614</v>
      </c>
      <c r="F362" s="3" t="s">
        <v>51</v>
      </c>
      <c r="G362" s="272">
        <v>530</v>
      </c>
      <c r="H362" s="272"/>
      <c r="I362" s="272">
        <f>G362+H362</f>
        <v>530</v>
      </c>
      <c r="J362" s="98"/>
    </row>
    <row r="363" spans="1:10" ht="36.75" x14ac:dyDescent="0.25">
      <c r="A363" s="4" t="s">
        <v>566</v>
      </c>
      <c r="B363" s="3" t="s">
        <v>80</v>
      </c>
      <c r="C363" s="3" t="s">
        <v>36</v>
      </c>
      <c r="D363" s="3" t="s">
        <v>27</v>
      </c>
      <c r="E363" s="3" t="s">
        <v>565</v>
      </c>
      <c r="F363" s="3"/>
      <c r="G363" s="272">
        <f t="shared" ref="G363:I363" si="180">G364</f>
        <v>228.67531</v>
      </c>
      <c r="H363" s="272">
        <f t="shared" si="180"/>
        <v>775.5</v>
      </c>
      <c r="I363" s="272">
        <f t="shared" si="180"/>
        <v>1004.17531</v>
      </c>
      <c r="J363" s="98"/>
    </row>
    <row r="364" spans="1:10" ht="24.75" x14ac:dyDescent="0.25">
      <c r="A364" s="4" t="s">
        <v>47</v>
      </c>
      <c r="B364" s="3" t="s">
        <v>80</v>
      </c>
      <c r="C364" s="3" t="s">
        <v>36</v>
      </c>
      <c r="D364" s="3" t="s">
        <v>27</v>
      </c>
      <c r="E364" s="3" t="s">
        <v>565</v>
      </c>
      <c r="F364" s="3" t="s">
        <v>51</v>
      </c>
      <c r="G364" s="271">
        <v>228.67531</v>
      </c>
      <c r="H364" s="272">
        <f>775.5</f>
        <v>775.5</v>
      </c>
      <c r="I364" s="271">
        <f>G364+H364</f>
        <v>1004.17531</v>
      </c>
      <c r="J364" s="98"/>
    </row>
    <row r="365" spans="1:10" ht="72" x14ac:dyDescent="0.2">
      <c r="A365" s="7" t="s">
        <v>407</v>
      </c>
      <c r="B365" s="3" t="s">
        <v>80</v>
      </c>
      <c r="C365" s="3" t="s">
        <v>36</v>
      </c>
      <c r="D365" s="3" t="s">
        <v>27</v>
      </c>
      <c r="E365" s="3" t="s">
        <v>416</v>
      </c>
      <c r="F365" s="3"/>
      <c r="G365" s="266">
        <f t="shared" ref="G365:I365" si="181">G366</f>
        <v>5489.84</v>
      </c>
      <c r="H365" s="266">
        <f t="shared" si="181"/>
        <v>0</v>
      </c>
      <c r="I365" s="266">
        <f t="shared" si="181"/>
        <v>5489.84</v>
      </c>
      <c r="J365" s="98"/>
    </row>
    <row r="366" spans="1:10" ht="60" x14ac:dyDescent="0.2">
      <c r="A366" s="4" t="s">
        <v>96</v>
      </c>
      <c r="B366" s="3" t="s">
        <v>80</v>
      </c>
      <c r="C366" s="3" t="s">
        <v>36</v>
      </c>
      <c r="D366" s="3" t="s">
        <v>27</v>
      </c>
      <c r="E366" s="3" t="s">
        <v>409</v>
      </c>
      <c r="F366" s="3"/>
      <c r="G366" s="266">
        <f>G367+G370+G372</f>
        <v>5489.84</v>
      </c>
      <c r="H366" s="266">
        <f t="shared" ref="H366:I366" si="182">H367+H370+H372</f>
        <v>0</v>
      </c>
      <c r="I366" s="266">
        <f t="shared" si="182"/>
        <v>5489.84</v>
      </c>
      <c r="J366" s="98"/>
    </row>
    <row r="367" spans="1:10" ht="48" x14ac:dyDescent="0.2">
      <c r="A367" s="7" t="s">
        <v>292</v>
      </c>
      <c r="B367" s="3" t="s">
        <v>80</v>
      </c>
      <c r="C367" s="3" t="s">
        <v>36</v>
      </c>
      <c r="D367" s="3" t="s">
        <v>27</v>
      </c>
      <c r="E367" s="3" t="s">
        <v>410</v>
      </c>
      <c r="F367" s="3"/>
      <c r="G367" s="266">
        <f t="shared" ref="G367:I367" si="183">G368+G369</f>
        <v>5489.84</v>
      </c>
      <c r="H367" s="266">
        <f t="shared" si="183"/>
        <v>-359</v>
      </c>
      <c r="I367" s="266">
        <f t="shared" si="183"/>
        <v>5130.84</v>
      </c>
      <c r="J367" s="98"/>
    </row>
    <row r="368" spans="1:10" ht="24" x14ac:dyDescent="0.2">
      <c r="A368" s="4" t="s">
        <v>47</v>
      </c>
      <c r="B368" s="3" t="s">
        <v>80</v>
      </c>
      <c r="C368" s="3" t="s">
        <v>36</v>
      </c>
      <c r="D368" s="3" t="s">
        <v>27</v>
      </c>
      <c r="E368" s="3" t="s">
        <v>410</v>
      </c>
      <c r="F368" s="3" t="s">
        <v>51</v>
      </c>
      <c r="G368" s="60">
        <v>5175.6000000000004</v>
      </c>
      <c r="H368" s="266">
        <f>-100-259</f>
        <v>-359</v>
      </c>
      <c r="I368" s="60">
        <f>G368+H368</f>
        <v>4816.6000000000004</v>
      </c>
      <c r="J368" s="98"/>
    </row>
    <row r="369" spans="1:10" ht="24" x14ac:dyDescent="0.2">
      <c r="A369" s="4" t="s">
        <v>73</v>
      </c>
      <c r="B369" s="3" t="s">
        <v>80</v>
      </c>
      <c r="C369" s="3" t="s">
        <v>36</v>
      </c>
      <c r="D369" s="3" t="s">
        <v>27</v>
      </c>
      <c r="E369" s="3" t="s">
        <v>410</v>
      </c>
      <c r="F369" s="3" t="s">
        <v>80</v>
      </c>
      <c r="G369" s="60">
        <v>314.24</v>
      </c>
      <c r="H369" s="266"/>
      <c r="I369" s="60">
        <f>G369+H369</f>
        <v>314.24</v>
      </c>
      <c r="J369" s="98"/>
    </row>
    <row r="370" spans="1:10" ht="12.75" x14ac:dyDescent="0.2">
      <c r="A370" s="4" t="s">
        <v>627</v>
      </c>
      <c r="B370" s="3" t="s">
        <v>80</v>
      </c>
      <c r="C370" s="3" t="s">
        <v>36</v>
      </c>
      <c r="D370" s="3" t="s">
        <v>27</v>
      </c>
      <c r="E370" s="3" t="s">
        <v>628</v>
      </c>
      <c r="F370" s="3"/>
      <c r="G370" s="60">
        <f>G371</f>
        <v>0</v>
      </c>
      <c r="H370" s="60">
        <f t="shared" ref="H370:I372" si="184">H371</f>
        <v>100</v>
      </c>
      <c r="I370" s="60">
        <f t="shared" si="184"/>
        <v>100</v>
      </c>
      <c r="J370" s="98"/>
    </row>
    <row r="371" spans="1:10" ht="24" x14ac:dyDescent="0.2">
      <c r="A371" s="4" t="s">
        <v>73</v>
      </c>
      <c r="B371" s="3" t="s">
        <v>80</v>
      </c>
      <c r="C371" s="3" t="s">
        <v>36</v>
      </c>
      <c r="D371" s="3" t="s">
        <v>27</v>
      </c>
      <c r="E371" s="3" t="s">
        <v>628</v>
      </c>
      <c r="F371" s="3" t="s">
        <v>80</v>
      </c>
      <c r="G371" s="60"/>
      <c r="H371" s="266">
        <v>100</v>
      </c>
      <c r="I371" s="60">
        <f>G371+H371</f>
        <v>100</v>
      </c>
      <c r="J371" s="98"/>
    </row>
    <row r="372" spans="1:10" ht="36" x14ac:dyDescent="0.2">
      <c r="A372" s="7" t="s">
        <v>667</v>
      </c>
      <c r="B372" s="3" t="s">
        <v>80</v>
      </c>
      <c r="C372" s="3" t="s">
        <v>36</v>
      </c>
      <c r="D372" s="3" t="s">
        <v>27</v>
      </c>
      <c r="E372" s="3" t="s">
        <v>666</v>
      </c>
      <c r="F372" s="3"/>
      <c r="G372" s="60">
        <f>G373</f>
        <v>0</v>
      </c>
      <c r="H372" s="60">
        <f t="shared" si="184"/>
        <v>259</v>
      </c>
      <c r="I372" s="60">
        <f t="shared" si="184"/>
        <v>259</v>
      </c>
      <c r="J372" s="98"/>
    </row>
    <row r="373" spans="1:10" ht="24" x14ac:dyDescent="0.2">
      <c r="A373" s="4" t="s">
        <v>73</v>
      </c>
      <c r="B373" s="3" t="s">
        <v>80</v>
      </c>
      <c r="C373" s="3" t="s">
        <v>36</v>
      </c>
      <c r="D373" s="3" t="s">
        <v>27</v>
      </c>
      <c r="E373" s="3" t="s">
        <v>666</v>
      </c>
      <c r="F373" s="3" t="s">
        <v>80</v>
      </c>
      <c r="G373" s="60"/>
      <c r="H373" s="266">
        <v>259</v>
      </c>
      <c r="I373" s="60">
        <f>G373+H373</f>
        <v>259</v>
      </c>
      <c r="J373" s="98"/>
    </row>
    <row r="374" spans="1:10" ht="12.75" x14ac:dyDescent="0.2">
      <c r="A374" s="4" t="s">
        <v>92</v>
      </c>
      <c r="B374" s="3" t="s">
        <v>80</v>
      </c>
      <c r="C374" s="3" t="s">
        <v>36</v>
      </c>
      <c r="D374" s="3" t="s">
        <v>6</v>
      </c>
      <c r="E374" s="3"/>
      <c r="F374" s="3"/>
      <c r="G374" s="264">
        <f>G375</f>
        <v>677.82</v>
      </c>
      <c r="H374" s="264">
        <f t="shared" ref="H374:I374" si="185">H375</f>
        <v>-191.38800000000001</v>
      </c>
      <c r="I374" s="264">
        <f t="shared" si="185"/>
        <v>486.43200000000002</v>
      </c>
      <c r="J374" s="98"/>
    </row>
    <row r="375" spans="1:10" ht="72.75" x14ac:dyDescent="0.25">
      <c r="A375" s="4" t="s">
        <v>420</v>
      </c>
      <c r="B375" s="3" t="s">
        <v>80</v>
      </c>
      <c r="C375" s="3" t="s">
        <v>36</v>
      </c>
      <c r="D375" s="3" t="s">
        <v>6</v>
      </c>
      <c r="E375" s="3" t="s">
        <v>91</v>
      </c>
      <c r="F375" s="3"/>
      <c r="G375" s="272">
        <f t="shared" ref="G375:I377" si="186">G376</f>
        <v>677.82</v>
      </c>
      <c r="H375" s="272">
        <f t="shared" si="186"/>
        <v>-191.38800000000001</v>
      </c>
      <c r="I375" s="272">
        <f t="shared" si="186"/>
        <v>486.43200000000002</v>
      </c>
      <c r="J375" s="98"/>
    </row>
    <row r="376" spans="1:10" ht="36.75" x14ac:dyDescent="0.25">
      <c r="A376" s="4" t="s">
        <v>229</v>
      </c>
      <c r="B376" s="3" t="s">
        <v>80</v>
      </c>
      <c r="C376" s="3" t="s">
        <v>36</v>
      </c>
      <c r="D376" s="3" t="s">
        <v>6</v>
      </c>
      <c r="E376" s="3" t="s">
        <v>300</v>
      </c>
      <c r="F376" s="3"/>
      <c r="G376" s="272">
        <f t="shared" si="186"/>
        <v>677.82</v>
      </c>
      <c r="H376" s="272">
        <f t="shared" si="186"/>
        <v>-191.38800000000001</v>
      </c>
      <c r="I376" s="272">
        <f t="shared" si="186"/>
        <v>486.43200000000002</v>
      </c>
      <c r="J376" s="98"/>
    </row>
    <row r="377" spans="1:10" ht="36.75" x14ac:dyDescent="0.25">
      <c r="A377" s="4" t="s">
        <v>302</v>
      </c>
      <c r="B377" s="3" t="s">
        <v>80</v>
      </c>
      <c r="C377" s="3" t="s">
        <v>36</v>
      </c>
      <c r="D377" s="3" t="s">
        <v>6</v>
      </c>
      <c r="E377" s="3" t="s">
        <v>301</v>
      </c>
      <c r="F377" s="3"/>
      <c r="G377" s="272">
        <f t="shared" si="186"/>
        <v>677.82</v>
      </c>
      <c r="H377" s="272">
        <f t="shared" si="186"/>
        <v>-191.38800000000001</v>
      </c>
      <c r="I377" s="272">
        <f t="shared" si="186"/>
        <v>486.43200000000002</v>
      </c>
      <c r="J377" s="98"/>
    </row>
    <row r="378" spans="1:10" ht="24.75" x14ac:dyDescent="0.25">
      <c r="A378" s="4" t="s">
        <v>47</v>
      </c>
      <c r="B378" s="3" t="s">
        <v>80</v>
      </c>
      <c r="C378" s="3" t="s">
        <v>36</v>
      </c>
      <c r="D378" s="3" t="s">
        <v>6</v>
      </c>
      <c r="E378" s="3" t="s">
        <v>301</v>
      </c>
      <c r="F378" s="3" t="s">
        <v>51</v>
      </c>
      <c r="G378" s="271">
        <v>677.82</v>
      </c>
      <c r="H378" s="272">
        <f>-191.388</f>
        <v>-191.38800000000001</v>
      </c>
      <c r="I378" s="271">
        <f>G378+H378</f>
        <v>486.43200000000002</v>
      </c>
      <c r="J378" s="98"/>
    </row>
    <row r="379" spans="1:10" ht="12.75" x14ac:dyDescent="0.2">
      <c r="A379" s="4" t="s">
        <v>185</v>
      </c>
      <c r="B379" s="3" t="s">
        <v>80</v>
      </c>
      <c r="C379" s="3" t="s">
        <v>79</v>
      </c>
      <c r="D379" s="3"/>
      <c r="E379" s="3"/>
      <c r="F379" s="3"/>
      <c r="G379" s="60">
        <f>G380+G390</f>
        <v>94555.43677</v>
      </c>
      <c r="H379" s="60">
        <f>H380+H390</f>
        <v>29546.959230000008</v>
      </c>
      <c r="I379" s="60">
        <f>I380+I390</f>
        <v>124102.39600000001</v>
      </c>
      <c r="J379" s="98"/>
    </row>
    <row r="380" spans="1:10" ht="12.75" x14ac:dyDescent="0.2">
      <c r="A380" s="4" t="s">
        <v>89</v>
      </c>
      <c r="B380" s="3" t="s">
        <v>80</v>
      </c>
      <c r="C380" s="3" t="s">
        <v>79</v>
      </c>
      <c r="D380" s="3" t="s">
        <v>15</v>
      </c>
      <c r="E380" s="3"/>
      <c r="F380" s="3"/>
      <c r="G380" s="60">
        <f>G381</f>
        <v>89308.36735</v>
      </c>
      <c r="H380" s="60">
        <f t="shared" ref="H380:I391" si="187">H381</f>
        <v>-756.07076999999117</v>
      </c>
      <c r="I380" s="60">
        <f t="shared" si="187"/>
        <v>88552.296580000009</v>
      </c>
      <c r="J380" s="98"/>
    </row>
    <row r="381" spans="1:10" ht="48" x14ac:dyDescent="0.2">
      <c r="A381" s="4" t="s">
        <v>371</v>
      </c>
      <c r="B381" s="3" t="s">
        <v>80</v>
      </c>
      <c r="C381" s="3" t="s">
        <v>79</v>
      </c>
      <c r="D381" s="3" t="s">
        <v>15</v>
      </c>
      <c r="E381" s="3" t="s">
        <v>439</v>
      </c>
      <c r="F381" s="3"/>
      <c r="G381" s="60">
        <f>G382+G385</f>
        <v>89308.36735</v>
      </c>
      <c r="H381" s="60">
        <f>H382+H385</f>
        <v>-756.07076999999117</v>
      </c>
      <c r="I381" s="60">
        <f>I382+I385</f>
        <v>88552.296580000009</v>
      </c>
      <c r="J381" s="98"/>
    </row>
    <row r="382" spans="1:10" ht="24" x14ac:dyDescent="0.2">
      <c r="A382" s="7" t="s">
        <v>427</v>
      </c>
      <c r="B382" s="3" t="s">
        <v>80</v>
      </c>
      <c r="C382" s="3" t="s">
        <v>79</v>
      </c>
      <c r="D382" s="3" t="s">
        <v>15</v>
      </c>
      <c r="E382" s="3" t="s">
        <v>446</v>
      </c>
      <c r="F382" s="3"/>
      <c r="G382" s="60">
        <f>G383</f>
        <v>89308.36735</v>
      </c>
      <c r="H382" s="60">
        <f t="shared" ref="H382:I382" si="188">H383</f>
        <v>-89308.36735</v>
      </c>
      <c r="I382" s="60">
        <f t="shared" si="188"/>
        <v>0</v>
      </c>
      <c r="J382" s="98"/>
    </row>
    <row r="383" spans="1:10" ht="96" x14ac:dyDescent="0.2">
      <c r="A383" s="7" t="s">
        <v>558</v>
      </c>
      <c r="B383" s="3" t="s">
        <v>80</v>
      </c>
      <c r="C383" s="3" t="s">
        <v>79</v>
      </c>
      <c r="D383" s="3" t="s">
        <v>15</v>
      </c>
      <c r="E383" s="3" t="s">
        <v>559</v>
      </c>
      <c r="F383" s="3"/>
      <c r="G383" s="60">
        <f>G384</f>
        <v>89308.36735</v>
      </c>
      <c r="H383" s="60">
        <f t="shared" si="187"/>
        <v>-89308.36735</v>
      </c>
      <c r="I383" s="60">
        <f t="shared" si="187"/>
        <v>0</v>
      </c>
      <c r="J383" s="98"/>
    </row>
    <row r="384" spans="1:10" ht="24" x14ac:dyDescent="0.2">
      <c r="A384" s="7" t="s">
        <v>70</v>
      </c>
      <c r="B384" s="3" t="s">
        <v>80</v>
      </c>
      <c r="C384" s="3" t="s">
        <v>79</v>
      </c>
      <c r="D384" s="3" t="s">
        <v>15</v>
      </c>
      <c r="E384" s="3" t="s">
        <v>559</v>
      </c>
      <c r="F384" s="3" t="s">
        <v>69</v>
      </c>
      <c r="G384" s="60">
        <v>89308.36735</v>
      </c>
      <c r="H384" s="60">
        <v>-89308.36735</v>
      </c>
      <c r="I384" s="60">
        <f>G384+H384</f>
        <v>0</v>
      </c>
      <c r="J384" s="98"/>
    </row>
    <row r="385" spans="1:10" ht="48" x14ac:dyDescent="0.2">
      <c r="A385" s="7" t="s">
        <v>650</v>
      </c>
      <c r="B385" s="3" t="s">
        <v>80</v>
      </c>
      <c r="C385" s="3" t="s">
        <v>79</v>
      </c>
      <c r="D385" s="3" t="s">
        <v>15</v>
      </c>
      <c r="E385" s="3" t="s">
        <v>649</v>
      </c>
      <c r="F385" s="3"/>
      <c r="G385" s="60">
        <f>G388+G386</f>
        <v>0</v>
      </c>
      <c r="H385" s="60">
        <f t="shared" ref="H385:I385" si="189">H388+H386</f>
        <v>88552.296580000009</v>
      </c>
      <c r="I385" s="60">
        <f t="shared" si="189"/>
        <v>88552.296580000009</v>
      </c>
      <c r="J385" s="98"/>
    </row>
    <row r="386" spans="1:10" ht="24" x14ac:dyDescent="0.2">
      <c r="A386" s="7" t="s">
        <v>651</v>
      </c>
      <c r="B386" s="3" t="s">
        <v>80</v>
      </c>
      <c r="C386" s="3" t="s">
        <v>79</v>
      </c>
      <c r="D386" s="3" t="s">
        <v>15</v>
      </c>
      <c r="E386" s="3" t="s">
        <v>652</v>
      </c>
      <c r="F386" s="3"/>
      <c r="G386" s="60">
        <f>G387</f>
        <v>0</v>
      </c>
      <c r="H386" s="60">
        <f t="shared" ref="H386:I386" si="190">H387</f>
        <v>145.97839999999999</v>
      </c>
      <c r="I386" s="60">
        <f t="shared" si="190"/>
        <v>145.97839999999999</v>
      </c>
      <c r="J386" s="98"/>
    </row>
    <row r="387" spans="1:10" ht="24" x14ac:dyDescent="0.2">
      <c r="A387" s="4" t="s">
        <v>47</v>
      </c>
      <c r="B387" s="3" t="s">
        <v>80</v>
      </c>
      <c r="C387" s="3" t="s">
        <v>79</v>
      </c>
      <c r="D387" s="3" t="s">
        <v>15</v>
      </c>
      <c r="E387" s="3" t="s">
        <v>652</v>
      </c>
      <c r="F387" s="3" t="s">
        <v>51</v>
      </c>
      <c r="G387" s="60"/>
      <c r="H387" s="60">
        <f>145.9784</f>
        <v>145.97839999999999</v>
      </c>
      <c r="I387" s="60">
        <f>G387+H387</f>
        <v>145.97839999999999</v>
      </c>
      <c r="J387" s="98"/>
    </row>
    <row r="388" spans="1:10" ht="96" x14ac:dyDescent="0.2">
      <c r="A388" s="7" t="s">
        <v>558</v>
      </c>
      <c r="B388" s="3" t="s">
        <v>80</v>
      </c>
      <c r="C388" s="3" t="s">
        <v>79</v>
      </c>
      <c r="D388" s="3" t="s">
        <v>15</v>
      </c>
      <c r="E388" s="3" t="s">
        <v>629</v>
      </c>
      <c r="F388" s="3"/>
      <c r="G388" s="60">
        <f>G389</f>
        <v>0</v>
      </c>
      <c r="H388" s="60">
        <f t="shared" ref="H388:I388" si="191">H389</f>
        <v>88406.318180000002</v>
      </c>
      <c r="I388" s="60">
        <f t="shared" si="191"/>
        <v>88406.318180000002</v>
      </c>
      <c r="J388" s="98"/>
    </row>
    <row r="389" spans="1:10" ht="24" x14ac:dyDescent="0.2">
      <c r="A389" s="7" t="s">
        <v>70</v>
      </c>
      <c r="B389" s="3" t="s">
        <v>80</v>
      </c>
      <c r="C389" s="3" t="s">
        <v>79</v>
      </c>
      <c r="D389" s="3" t="s">
        <v>15</v>
      </c>
      <c r="E389" s="3" t="s">
        <v>629</v>
      </c>
      <c r="F389" s="3" t="s">
        <v>69</v>
      </c>
      <c r="G389" s="60"/>
      <c r="H389" s="60">
        <f>87522.255+884.06318</f>
        <v>88406.318180000002</v>
      </c>
      <c r="I389" s="60">
        <f>G389+H389</f>
        <v>88406.318180000002</v>
      </c>
      <c r="J389" s="98"/>
    </row>
    <row r="390" spans="1:10" ht="12.75" x14ac:dyDescent="0.2">
      <c r="A390" s="4" t="s">
        <v>88</v>
      </c>
      <c r="B390" s="3" t="s">
        <v>80</v>
      </c>
      <c r="C390" s="3" t="s">
        <v>79</v>
      </c>
      <c r="D390" s="3" t="s">
        <v>27</v>
      </c>
      <c r="E390" s="3"/>
      <c r="F390" s="3"/>
      <c r="G390" s="60">
        <f>G391</f>
        <v>5247.0694199999998</v>
      </c>
      <c r="H390" s="60">
        <f>H391</f>
        <v>30303.03</v>
      </c>
      <c r="I390" s="60">
        <f t="shared" si="187"/>
        <v>35550.099419999999</v>
      </c>
      <c r="J390" s="98"/>
    </row>
    <row r="391" spans="1:10" ht="48" x14ac:dyDescent="0.2">
      <c r="A391" s="4" t="s">
        <v>371</v>
      </c>
      <c r="B391" s="3" t="s">
        <v>80</v>
      </c>
      <c r="C391" s="3" t="s">
        <v>79</v>
      </c>
      <c r="D391" s="3" t="s">
        <v>27</v>
      </c>
      <c r="E391" s="3" t="s">
        <v>439</v>
      </c>
      <c r="F391" s="3"/>
      <c r="G391" s="60">
        <f>G392</f>
        <v>5247.0694199999998</v>
      </c>
      <c r="H391" s="60">
        <f>H392</f>
        <v>30303.03</v>
      </c>
      <c r="I391" s="60">
        <f t="shared" si="187"/>
        <v>35550.099419999999</v>
      </c>
      <c r="J391" s="98"/>
    </row>
    <row r="392" spans="1:10" ht="24" x14ac:dyDescent="0.2">
      <c r="A392" s="7" t="s">
        <v>427</v>
      </c>
      <c r="B392" s="3" t="s">
        <v>80</v>
      </c>
      <c r="C392" s="3" t="s">
        <v>79</v>
      </c>
      <c r="D392" s="3" t="s">
        <v>27</v>
      </c>
      <c r="E392" s="3" t="s">
        <v>446</v>
      </c>
      <c r="F392" s="3"/>
      <c r="G392" s="60">
        <f>G393+G395</f>
        <v>5247.0694199999998</v>
      </c>
      <c r="H392" s="60">
        <f>H393+H395</f>
        <v>30303.03</v>
      </c>
      <c r="I392" s="60">
        <f t="shared" ref="I392" si="192">I393+I395</f>
        <v>35550.099419999999</v>
      </c>
      <c r="J392" s="98"/>
    </row>
    <row r="393" spans="1:10" ht="36" x14ac:dyDescent="0.2">
      <c r="A393" s="7" t="s">
        <v>605</v>
      </c>
      <c r="B393" s="3" t="s">
        <v>80</v>
      </c>
      <c r="C393" s="3" t="s">
        <v>79</v>
      </c>
      <c r="D393" s="3" t="s">
        <v>27</v>
      </c>
      <c r="E393" s="3" t="s">
        <v>447</v>
      </c>
      <c r="F393" s="3"/>
      <c r="G393" s="240">
        <f t="shared" ref="G393:I395" si="193">G394</f>
        <v>615</v>
      </c>
      <c r="H393" s="240">
        <f t="shared" si="193"/>
        <v>-94.532579999999996</v>
      </c>
      <c r="I393" s="240">
        <f t="shared" si="193"/>
        <v>520.46741999999995</v>
      </c>
      <c r="J393" s="98"/>
    </row>
    <row r="394" spans="1:10" ht="24" x14ac:dyDescent="0.2">
      <c r="A394" s="4" t="s">
        <v>47</v>
      </c>
      <c r="B394" s="3" t="s">
        <v>80</v>
      </c>
      <c r="C394" s="3" t="s">
        <v>79</v>
      </c>
      <c r="D394" s="3" t="s">
        <v>27</v>
      </c>
      <c r="E394" s="3" t="s">
        <v>447</v>
      </c>
      <c r="F394" s="3" t="s">
        <v>51</v>
      </c>
      <c r="G394" s="60">
        <v>615</v>
      </c>
      <c r="H394" s="240">
        <f>-94.53258</f>
        <v>-94.532579999999996</v>
      </c>
      <c r="I394" s="60">
        <f>G394+H394</f>
        <v>520.46741999999995</v>
      </c>
      <c r="J394" s="98"/>
    </row>
    <row r="395" spans="1:10" ht="48" x14ac:dyDescent="0.2">
      <c r="A395" s="4" t="s">
        <v>624</v>
      </c>
      <c r="B395" s="3" t="s">
        <v>80</v>
      </c>
      <c r="C395" s="3" t="s">
        <v>79</v>
      </c>
      <c r="D395" s="3" t="s">
        <v>27</v>
      </c>
      <c r="E395" s="3" t="s">
        <v>625</v>
      </c>
      <c r="F395" s="3"/>
      <c r="G395" s="240">
        <f t="shared" si="193"/>
        <v>4632.0694199999998</v>
      </c>
      <c r="H395" s="240">
        <f>H396</f>
        <v>30397.562579999998</v>
      </c>
      <c r="I395" s="240">
        <f t="shared" si="193"/>
        <v>35029.631999999998</v>
      </c>
      <c r="J395" s="98"/>
    </row>
    <row r="396" spans="1:10" ht="24" x14ac:dyDescent="0.2">
      <c r="A396" s="7" t="s">
        <v>70</v>
      </c>
      <c r="B396" s="3" t="s">
        <v>80</v>
      </c>
      <c r="C396" s="3" t="s">
        <v>79</v>
      </c>
      <c r="D396" s="3" t="s">
        <v>27</v>
      </c>
      <c r="E396" s="3" t="s">
        <v>625</v>
      </c>
      <c r="F396" s="3" t="s">
        <v>69</v>
      </c>
      <c r="G396" s="60">
        <v>4632.0694199999998</v>
      </c>
      <c r="H396" s="240">
        <f>30094.53258+303.03</f>
        <v>30397.562579999998</v>
      </c>
      <c r="I396" s="60">
        <f>G396+H396</f>
        <v>35029.631999999998</v>
      </c>
      <c r="J396" s="98"/>
    </row>
    <row r="397" spans="1:10" s="62" customFormat="1" ht="12.75" x14ac:dyDescent="0.2">
      <c r="A397" s="4" t="s">
        <v>78</v>
      </c>
      <c r="B397" s="3" t="s">
        <v>80</v>
      </c>
      <c r="C397" s="3" t="s">
        <v>72</v>
      </c>
      <c r="D397" s="3"/>
      <c r="E397" s="3"/>
      <c r="F397" s="3"/>
      <c r="G397" s="60">
        <f>G398</f>
        <v>7070.9993599999998</v>
      </c>
      <c r="H397" s="60">
        <f t="shared" ref="H397:I398" si="194">H398</f>
        <v>-4.3000000005122274E-4</v>
      </c>
      <c r="I397" s="60">
        <f t="shared" si="194"/>
        <v>7070.9989299999997</v>
      </c>
      <c r="J397" s="99"/>
    </row>
    <row r="398" spans="1:10" s="62" customFormat="1" ht="12.75" x14ac:dyDescent="0.2">
      <c r="A398" s="4" t="s">
        <v>77</v>
      </c>
      <c r="B398" s="3" t="s">
        <v>80</v>
      </c>
      <c r="C398" s="3" t="s">
        <v>72</v>
      </c>
      <c r="D398" s="3" t="s">
        <v>15</v>
      </c>
      <c r="E398" s="3"/>
      <c r="F398" s="3"/>
      <c r="G398" s="60">
        <f>G399</f>
        <v>7070.9993599999998</v>
      </c>
      <c r="H398" s="60">
        <f t="shared" si="194"/>
        <v>-4.3000000005122274E-4</v>
      </c>
      <c r="I398" s="60">
        <f t="shared" si="194"/>
        <v>7070.9989299999997</v>
      </c>
      <c r="J398" s="99"/>
    </row>
    <row r="399" spans="1:10" s="62" customFormat="1" ht="48" x14ac:dyDescent="0.2">
      <c r="A399" s="4" t="s">
        <v>393</v>
      </c>
      <c r="B399" s="3" t="s">
        <v>80</v>
      </c>
      <c r="C399" s="3" t="s">
        <v>72</v>
      </c>
      <c r="D399" s="3" t="s">
        <v>15</v>
      </c>
      <c r="E399" s="3" t="s">
        <v>41</v>
      </c>
      <c r="F399" s="3"/>
      <c r="G399" s="240">
        <f>G400+G403</f>
        <v>7070.9993599999998</v>
      </c>
      <c r="H399" s="240">
        <f t="shared" ref="H399:I399" si="195">H400+H403</f>
        <v>-4.3000000005122274E-4</v>
      </c>
      <c r="I399" s="240">
        <f t="shared" si="195"/>
        <v>7070.9989299999997</v>
      </c>
      <c r="J399" s="99"/>
    </row>
    <row r="400" spans="1:10" s="62" customFormat="1" ht="24" x14ac:dyDescent="0.2">
      <c r="A400" s="4" t="s">
        <v>478</v>
      </c>
      <c r="B400" s="3" t="s">
        <v>80</v>
      </c>
      <c r="C400" s="3" t="s">
        <v>72</v>
      </c>
      <c r="D400" s="3" t="s">
        <v>15</v>
      </c>
      <c r="E400" s="3" t="s">
        <v>479</v>
      </c>
      <c r="F400" s="3"/>
      <c r="G400" s="240">
        <f>G401</f>
        <v>7070.9993599999998</v>
      </c>
      <c r="H400" s="240">
        <f t="shared" ref="H400:I400" si="196">H401</f>
        <v>-7070.9993599999998</v>
      </c>
      <c r="I400" s="240">
        <f t="shared" si="196"/>
        <v>0</v>
      </c>
      <c r="J400" s="99"/>
    </row>
    <row r="401" spans="1:10" s="62" customFormat="1" ht="48" x14ac:dyDescent="0.2">
      <c r="A401" s="4" t="s">
        <v>563</v>
      </c>
      <c r="B401" s="3" t="s">
        <v>80</v>
      </c>
      <c r="C401" s="3" t="s">
        <v>72</v>
      </c>
      <c r="D401" s="3" t="s">
        <v>15</v>
      </c>
      <c r="E401" s="3" t="s">
        <v>564</v>
      </c>
      <c r="F401" s="3"/>
      <c r="G401" s="240">
        <f>G402</f>
        <v>7070.9993599999998</v>
      </c>
      <c r="H401" s="240">
        <f t="shared" ref="H401:I404" si="197">H402</f>
        <v>-7070.9993599999998</v>
      </c>
      <c r="I401" s="240">
        <f t="shared" si="197"/>
        <v>0</v>
      </c>
      <c r="J401" s="99"/>
    </row>
    <row r="402" spans="1:10" s="62" customFormat="1" ht="24" x14ac:dyDescent="0.2">
      <c r="A402" s="4" t="s">
        <v>47</v>
      </c>
      <c r="B402" s="3" t="s">
        <v>80</v>
      </c>
      <c r="C402" s="3" t="s">
        <v>72</v>
      </c>
      <c r="D402" s="3" t="s">
        <v>15</v>
      </c>
      <c r="E402" s="3" t="s">
        <v>564</v>
      </c>
      <c r="F402" s="3" t="s">
        <v>51</v>
      </c>
      <c r="G402" s="60">
        <v>7070.9993599999998</v>
      </c>
      <c r="H402" s="240">
        <v>-7070.9993599999998</v>
      </c>
      <c r="I402" s="60">
        <f>G402+H402</f>
        <v>0</v>
      </c>
      <c r="J402" s="99"/>
    </row>
    <row r="403" spans="1:10" s="62" customFormat="1" ht="24" x14ac:dyDescent="0.2">
      <c r="A403" s="4" t="s">
        <v>653</v>
      </c>
      <c r="B403" s="3" t="s">
        <v>80</v>
      </c>
      <c r="C403" s="3" t="s">
        <v>72</v>
      </c>
      <c r="D403" s="3" t="s">
        <v>15</v>
      </c>
      <c r="E403" s="3" t="s">
        <v>654</v>
      </c>
      <c r="F403" s="3"/>
      <c r="G403" s="60">
        <f>G404</f>
        <v>0</v>
      </c>
      <c r="H403" s="60">
        <f t="shared" ref="H403:I403" si="198">H404</f>
        <v>7070.9989299999997</v>
      </c>
      <c r="I403" s="60">
        <f t="shared" si="198"/>
        <v>7070.9989299999997</v>
      </c>
      <c r="J403" s="99"/>
    </row>
    <row r="404" spans="1:10" s="62" customFormat="1" ht="48" x14ac:dyDescent="0.2">
      <c r="A404" s="4" t="s">
        <v>563</v>
      </c>
      <c r="B404" s="3" t="s">
        <v>80</v>
      </c>
      <c r="C404" s="3" t="s">
        <v>72</v>
      </c>
      <c r="D404" s="3" t="s">
        <v>15</v>
      </c>
      <c r="E404" s="3" t="s">
        <v>648</v>
      </c>
      <c r="F404" s="3"/>
      <c r="G404" s="240">
        <f>G405</f>
        <v>0</v>
      </c>
      <c r="H404" s="240">
        <f t="shared" si="197"/>
        <v>7070.9989299999997</v>
      </c>
      <c r="I404" s="240">
        <f t="shared" si="197"/>
        <v>7070.9989299999997</v>
      </c>
      <c r="J404" s="99"/>
    </row>
    <row r="405" spans="1:10" s="62" customFormat="1" ht="24" x14ac:dyDescent="0.2">
      <c r="A405" s="4" t="s">
        <v>47</v>
      </c>
      <c r="B405" s="3" t="s">
        <v>80</v>
      </c>
      <c r="C405" s="3" t="s">
        <v>72</v>
      </c>
      <c r="D405" s="3" t="s">
        <v>15</v>
      </c>
      <c r="E405" s="3" t="s">
        <v>648</v>
      </c>
      <c r="F405" s="3" t="s">
        <v>51</v>
      </c>
      <c r="G405" s="60"/>
      <c r="H405" s="240">
        <f>7070.99936-0.00043</f>
        <v>7070.9989299999997</v>
      </c>
      <c r="I405" s="60">
        <f>G405+H405</f>
        <v>7070.9989299999997</v>
      </c>
      <c r="J405" s="99"/>
    </row>
    <row r="406" spans="1:10" ht="12.75" x14ac:dyDescent="0.2">
      <c r="A406" s="4" t="s">
        <v>66</v>
      </c>
      <c r="B406" s="3" t="s">
        <v>80</v>
      </c>
      <c r="C406" s="3" t="s">
        <v>54</v>
      </c>
      <c r="D406" s="3" t="s">
        <v>19</v>
      </c>
      <c r="E406" s="3"/>
      <c r="F406" s="3"/>
      <c r="G406" s="60">
        <f>G408+G412</f>
        <v>5540.5384900000008</v>
      </c>
      <c r="H406" s="60">
        <f t="shared" ref="H406:I406" si="199">H408+H412</f>
        <v>150.66032000000001</v>
      </c>
      <c r="I406" s="60">
        <f t="shared" si="199"/>
        <v>5691.1988099999999</v>
      </c>
      <c r="J406" s="98"/>
    </row>
    <row r="407" spans="1:10" ht="12.75" x14ac:dyDescent="0.2">
      <c r="A407" s="4" t="s">
        <v>65</v>
      </c>
      <c r="B407" s="3" t="s">
        <v>80</v>
      </c>
      <c r="C407" s="3" t="s">
        <v>54</v>
      </c>
      <c r="D407" s="3" t="s">
        <v>15</v>
      </c>
      <c r="E407" s="3"/>
      <c r="F407" s="3"/>
      <c r="G407" s="60">
        <f>G408</f>
        <v>720.73</v>
      </c>
      <c r="H407" s="60">
        <f t="shared" ref="H407:I407" si="200">H408</f>
        <v>0</v>
      </c>
      <c r="I407" s="60">
        <f t="shared" si="200"/>
        <v>720.73</v>
      </c>
      <c r="J407" s="98"/>
    </row>
    <row r="408" spans="1:10" ht="60" x14ac:dyDescent="0.2">
      <c r="A408" s="4" t="s">
        <v>303</v>
      </c>
      <c r="B408" s="3" t="s">
        <v>80</v>
      </c>
      <c r="C408" s="3" t="s">
        <v>54</v>
      </c>
      <c r="D408" s="3" t="s">
        <v>15</v>
      </c>
      <c r="E408" s="3" t="s">
        <v>57</v>
      </c>
      <c r="F408" s="3"/>
      <c r="G408" s="60">
        <f t="shared" ref="G408:I410" si="201">G409</f>
        <v>720.73</v>
      </c>
      <c r="H408" s="60">
        <f t="shared" si="201"/>
        <v>0</v>
      </c>
      <c r="I408" s="60">
        <f t="shared" si="201"/>
        <v>720.73</v>
      </c>
      <c r="J408" s="98"/>
    </row>
    <row r="409" spans="1:10" ht="48" x14ac:dyDescent="0.2">
      <c r="A409" s="4" t="s">
        <v>249</v>
      </c>
      <c r="B409" s="3" t="s">
        <v>80</v>
      </c>
      <c r="C409" s="3" t="s">
        <v>54</v>
      </c>
      <c r="D409" s="3" t="s">
        <v>15</v>
      </c>
      <c r="E409" s="3" t="s">
        <v>304</v>
      </c>
      <c r="F409" s="3"/>
      <c r="G409" s="60">
        <f t="shared" si="201"/>
        <v>720.73</v>
      </c>
      <c r="H409" s="60">
        <f t="shared" si="201"/>
        <v>0</v>
      </c>
      <c r="I409" s="60">
        <f t="shared" si="201"/>
        <v>720.73</v>
      </c>
      <c r="J409" s="98"/>
    </row>
    <row r="410" spans="1:10" ht="36" x14ac:dyDescent="0.2">
      <c r="A410" s="7" t="s">
        <v>305</v>
      </c>
      <c r="B410" s="3" t="s">
        <v>80</v>
      </c>
      <c r="C410" s="3" t="s">
        <v>54</v>
      </c>
      <c r="D410" s="3" t="s">
        <v>15</v>
      </c>
      <c r="E410" s="3" t="s">
        <v>306</v>
      </c>
      <c r="F410" s="3"/>
      <c r="G410" s="60">
        <f t="shared" si="201"/>
        <v>720.73</v>
      </c>
      <c r="H410" s="60">
        <f t="shared" si="201"/>
        <v>0</v>
      </c>
      <c r="I410" s="60">
        <f t="shared" si="201"/>
        <v>720.73</v>
      </c>
      <c r="J410" s="98"/>
    </row>
    <row r="411" spans="1:10" ht="24" x14ac:dyDescent="0.2">
      <c r="A411" s="7" t="s">
        <v>45</v>
      </c>
      <c r="B411" s="3" t="s">
        <v>80</v>
      </c>
      <c r="C411" s="3" t="s">
        <v>54</v>
      </c>
      <c r="D411" s="3" t="s">
        <v>15</v>
      </c>
      <c r="E411" s="3" t="s">
        <v>306</v>
      </c>
      <c r="F411" s="3" t="s">
        <v>43</v>
      </c>
      <c r="G411" s="60">
        <v>720.73</v>
      </c>
      <c r="H411" s="240"/>
      <c r="I411" s="60">
        <f>G411+H411</f>
        <v>720.73</v>
      </c>
      <c r="J411" s="98"/>
    </row>
    <row r="412" spans="1:10" s="31" customFormat="1" ht="12.75" x14ac:dyDescent="0.2">
      <c r="A412" s="4" t="s">
        <v>64</v>
      </c>
      <c r="B412" s="3" t="s">
        <v>80</v>
      </c>
      <c r="C412" s="3" t="s">
        <v>54</v>
      </c>
      <c r="D412" s="3" t="s">
        <v>6</v>
      </c>
      <c r="E412" s="3"/>
      <c r="F412" s="3"/>
      <c r="G412" s="60">
        <f>G413+G421+G417+G430</f>
        <v>4819.8084900000003</v>
      </c>
      <c r="H412" s="60">
        <f t="shared" ref="H412:I412" si="202">H413+H421+H417+H430</f>
        <v>150.66032000000001</v>
      </c>
      <c r="I412" s="60">
        <f t="shared" si="202"/>
        <v>4970.4688100000003</v>
      </c>
      <c r="J412" s="100"/>
    </row>
    <row r="413" spans="1:10" s="31" customFormat="1" ht="72" x14ac:dyDescent="0.2">
      <c r="A413" s="4" t="s">
        <v>268</v>
      </c>
      <c r="B413" s="3" t="s">
        <v>80</v>
      </c>
      <c r="C413" s="3" t="s">
        <v>54</v>
      </c>
      <c r="D413" s="3" t="s">
        <v>6</v>
      </c>
      <c r="E413" s="3" t="s">
        <v>63</v>
      </c>
      <c r="F413" s="3"/>
      <c r="G413" s="265">
        <f t="shared" ref="G413:I414" si="203">G414</f>
        <v>3928.54765</v>
      </c>
      <c r="H413" s="265">
        <f t="shared" si="203"/>
        <v>0</v>
      </c>
      <c r="I413" s="265">
        <f t="shared" si="203"/>
        <v>3928.54765</v>
      </c>
      <c r="J413" s="100"/>
    </row>
    <row r="414" spans="1:10" s="31" customFormat="1" ht="24" x14ac:dyDescent="0.2">
      <c r="A414" s="4" t="s">
        <v>307</v>
      </c>
      <c r="B414" s="3" t="s">
        <v>80</v>
      </c>
      <c r="C414" s="3" t="s">
        <v>54</v>
      </c>
      <c r="D414" s="3" t="s">
        <v>6</v>
      </c>
      <c r="E414" s="3" t="s">
        <v>295</v>
      </c>
      <c r="F414" s="3"/>
      <c r="G414" s="265">
        <f>G415</f>
        <v>3928.54765</v>
      </c>
      <c r="H414" s="265">
        <f t="shared" si="203"/>
        <v>0</v>
      </c>
      <c r="I414" s="265">
        <f t="shared" si="203"/>
        <v>3928.54765</v>
      </c>
      <c r="J414" s="100"/>
    </row>
    <row r="415" spans="1:10" s="31" customFormat="1" ht="60" x14ac:dyDescent="0.2">
      <c r="A415" s="4" t="s">
        <v>428</v>
      </c>
      <c r="B415" s="3" t="s">
        <v>80</v>
      </c>
      <c r="C415" s="3" t="s">
        <v>54</v>
      </c>
      <c r="D415" s="3" t="s">
        <v>6</v>
      </c>
      <c r="E415" s="3" t="s">
        <v>560</v>
      </c>
      <c r="F415" s="3"/>
      <c r="G415" s="265">
        <f t="shared" ref="G415:I415" si="204">G416</f>
        <v>3928.54765</v>
      </c>
      <c r="H415" s="265">
        <f t="shared" si="204"/>
        <v>0</v>
      </c>
      <c r="I415" s="265">
        <f t="shared" si="204"/>
        <v>3928.54765</v>
      </c>
      <c r="J415" s="100"/>
    </row>
    <row r="416" spans="1:10" s="31" customFormat="1" ht="24" x14ac:dyDescent="0.2">
      <c r="A416" s="4" t="s">
        <v>45</v>
      </c>
      <c r="B416" s="3" t="s">
        <v>80</v>
      </c>
      <c r="C416" s="3" t="s">
        <v>54</v>
      </c>
      <c r="D416" s="3" t="s">
        <v>6</v>
      </c>
      <c r="E416" s="3" t="s">
        <v>560</v>
      </c>
      <c r="F416" s="3" t="s">
        <v>43</v>
      </c>
      <c r="G416" s="60">
        <v>3928.54765</v>
      </c>
      <c r="H416" s="265">
        <f>-0.02378+0.02378</f>
        <v>0</v>
      </c>
      <c r="I416" s="60">
        <f>G416+H416</f>
        <v>3928.54765</v>
      </c>
      <c r="J416" s="100"/>
    </row>
    <row r="417" spans="1:10" s="31" customFormat="1" ht="48" x14ac:dyDescent="0.2">
      <c r="A417" s="73" t="s">
        <v>431</v>
      </c>
      <c r="B417" s="3" t="s">
        <v>80</v>
      </c>
      <c r="C417" s="3" t="s">
        <v>54</v>
      </c>
      <c r="D417" s="3" t="s">
        <v>6</v>
      </c>
      <c r="E417" s="3" t="s">
        <v>471</v>
      </c>
      <c r="F417" s="3"/>
      <c r="G417" s="60">
        <f>G418</f>
        <v>480.26083999999997</v>
      </c>
      <c r="H417" s="60">
        <f t="shared" ref="H417:I419" si="205">H418</f>
        <v>90.660319999999999</v>
      </c>
      <c r="I417" s="60">
        <f t="shared" si="205"/>
        <v>570.92115999999999</v>
      </c>
      <c r="J417" s="100"/>
    </row>
    <row r="418" spans="1:10" s="31" customFormat="1" ht="24" x14ac:dyDescent="0.2">
      <c r="A418" s="73" t="s">
        <v>432</v>
      </c>
      <c r="B418" s="3" t="s">
        <v>80</v>
      </c>
      <c r="C418" s="3" t="s">
        <v>54</v>
      </c>
      <c r="D418" s="3" t="s">
        <v>6</v>
      </c>
      <c r="E418" s="3" t="s">
        <v>472</v>
      </c>
      <c r="F418" s="3"/>
      <c r="G418" s="60">
        <f>G419</f>
        <v>480.26083999999997</v>
      </c>
      <c r="H418" s="60">
        <f t="shared" si="205"/>
        <v>90.660319999999999</v>
      </c>
      <c r="I418" s="60">
        <f t="shared" si="205"/>
        <v>570.92115999999999</v>
      </c>
      <c r="J418" s="100"/>
    </row>
    <row r="419" spans="1:10" s="31" customFormat="1" ht="24" x14ac:dyDescent="0.2">
      <c r="A419" s="73" t="s">
        <v>561</v>
      </c>
      <c r="B419" s="3" t="s">
        <v>80</v>
      </c>
      <c r="C419" s="3" t="s">
        <v>54</v>
      </c>
      <c r="D419" s="3" t="s">
        <v>6</v>
      </c>
      <c r="E419" s="3" t="s">
        <v>562</v>
      </c>
      <c r="F419" s="3"/>
      <c r="G419" s="60">
        <f>G420</f>
        <v>480.26083999999997</v>
      </c>
      <c r="H419" s="60">
        <f t="shared" si="205"/>
        <v>90.660319999999999</v>
      </c>
      <c r="I419" s="60">
        <f t="shared" si="205"/>
        <v>570.92115999999999</v>
      </c>
      <c r="J419" s="100"/>
    </row>
    <row r="420" spans="1:10" s="31" customFormat="1" ht="24" x14ac:dyDescent="0.2">
      <c r="A420" s="7" t="s">
        <v>45</v>
      </c>
      <c r="B420" s="3" t="s">
        <v>80</v>
      </c>
      <c r="C420" s="3" t="s">
        <v>54</v>
      </c>
      <c r="D420" s="3" t="s">
        <v>6</v>
      </c>
      <c r="E420" s="3" t="s">
        <v>562</v>
      </c>
      <c r="F420" s="3" t="s">
        <v>43</v>
      </c>
      <c r="G420" s="60">
        <v>480.26083999999997</v>
      </c>
      <c r="H420" s="265">
        <f>90.06716+0.59316</f>
        <v>90.660319999999999</v>
      </c>
      <c r="I420" s="60">
        <f>G420+H420</f>
        <v>570.92115999999999</v>
      </c>
      <c r="J420" s="100"/>
    </row>
    <row r="421" spans="1:10" s="31" customFormat="1" ht="60" x14ac:dyDescent="0.2">
      <c r="A421" s="4" t="s">
        <v>303</v>
      </c>
      <c r="B421" s="3" t="s">
        <v>80</v>
      </c>
      <c r="C421" s="3" t="s">
        <v>54</v>
      </c>
      <c r="D421" s="3" t="s">
        <v>6</v>
      </c>
      <c r="E421" s="3" t="s">
        <v>57</v>
      </c>
      <c r="F421" s="3"/>
      <c r="G421" s="265">
        <f>G422+G427</f>
        <v>366</v>
      </c>
      <c r="H421" s="265">
        <f>H422+H427</f>
        <v>60</v>
      </c>
      <c r="I421" s="265">
        <f>I422+I427</f>
        <v>426</v>
      </c>
      <c r="J421" s="100"/>
    </row>
    <row r="422" spans="1:10" s="31" customFormat="1" ht="36" x14ac:dyDescent="0.2">
      <c r="A422" s="7" t="s">
        <v>55</v>
      </c>
      <c r="B422" s="3" t="s">
        <v>80</v>
      </c>
      <c r="C422" s="3" t="s">
        <v>54</v>
      </c>
      <c r="D422" s="3" t="s">
        <v>6</v>
      </c>
      <c r="E422" s="3" t="s">
        <v>264</v>
      </c>
      <c r="F422" s="3"/>
      <c r="G422" s="265">
        <f>G423+G425</f>
        <v>202.5</v>
      </c>
      <c r="H422" s="265">
        <f>H423+H425</f>
        <v>0</v>
      </c>
      <c r="I422" s="265">
        <f t="shared" ref="I422" si="206">I423+I425</f>
        <v>202.5</v>
      </c>
      <c r="J422" s="100"/>
    </row>
    <row r="423" spans="1:10" s="31" customFormat="1" ht="72" x14ac:dyDescent="0.2">
      <c r="A423" s="4" t="s">
        <v>343</v>
      </c>
      <c r="B423" s="3" t="s">
        <v>80</v>
      </c>
      <c r="C423" s="3" t="s">
        <v>54</v>
      </c>
      <c r="D423" s="3" t="s">
        <v>6</v>
      </c>
      <c r="E423" s="3" t="s">
        <v>62</v>
      </c>
      <c r="F423" s="3"/>
      <c r="G423" s="265">
        <f t="shared" ref="G423:I425" si="207">G424</f>
        <v>86</v>
      </c>
      <c r="H423" s="265">
        <f t="shared" si="207"/>
        <v>0</v>
      </c>
      <c r="I423" s="265">
        <f t="shared" si="207"/>
        <v>86</v>
      </c>
      <c r="J423" s="100"/>
    </row>
    <row r="424" spans="1:10" s="31" customFormat="1" ht="24" x14ac:dyDescent="0.2">
      <c r="A424" s="7" t="s">
        <v>45</v>
      </c>
      <c r="B424" s="3" t="s">
        <v>80</v>
      </c>
      <c r="C424" s="3" t="s">
        <v>54</v>
      </c>
      <c r="D424" s="3" t="s">
        <v>6</v>
      </c>
      <c r="E424" s="3" t="s">
        <v>62</v>
      </c>
      <c r="F424" s="3" t="s">
        <v>43</v>
      </c>
      <c r="G424" s="60">
        <v>86</v>
      </c>
      <c r="H424" s="265"/>
      <c r="I424" s="60">
        <f>G424+H424</f>
        <v>86</v>
      </c>
      <c r="J424" s="100"/>
    </row>
    <row r="425" spans="1:10" s="31" customFormat="1" ht="60" x14ac:dyDescent="0.2">
      <c r="A425" s="4" t="s">
        <v>477</v>
      </c>
      <c r="B425" s="3" t="s">
        <v>80</v>
      </c>
      <c r="C425" s="3" t="s">
        <v>54</v>
      </c>
      <c r="D425" s="3" t="s">
        <v>6</v>
      </c>
      <c r="E425" s="3" t="s">
        <v>476</v>
      </c>
      <c r="F425" s="3"/>
      <c r="G425" s="265">
        <f t="shared" si="207"/>
        <v>116.5</v>
      </c>
      <c r="H425" s="265">
        <f t="shared" si="207"/>
        <v>0</v>
      </c>
      <c r="I425" s="265">
        <f t="shared" si="207"/>
        <v>116.5</v>
      </c>
      <c r="J425" s="100"/>
    </row>
    <row r="426" spans="1:10" s="31" customFormat="1" ht="24" x14ac:dyDescent="0.2">
      <c r="A426" s="7" t="s">
        <v>45</v>
      </c>
      <c r="B426" s="3" t="s">
        <v>80</v>
      </c>
      <c r="C426" s="3" t="s">
        <v>54</v>
      </c>
      <c r="D426" s="3" t="s">
        <v>6</v>
      </c>
      <c r="E426" s="3" t="s">
        <v>476</v>
      </c>
      <c r="F426" s="3" t="s">
        <v>43</v>
      </c>
      <c r="G426" s="60">
        <v>116.5</v>
      </c>
      <c r="H426" s="265"/>
      <c r="I426" s="60">
        <f>G426+H426</f>
        <v>116.5</v>
      </c>
      <c r="J426" s="100"/>
    </row>
    <row r="427" spans="1:10" s="31" customFormat="1" ht="48" x14ac:dyDescent="0.2">
      <c r="A427" s="4" t="s">
        <v>249</v>
      </c>
      <c r="B427" s="3" t="s">
        <v>80</v>
      </c>
      <c r="C427" s="3" t="s">
        <v>54</v>
      </c>
      <c r="D427" s="3" t="s">
        <v>6</v>
      </c>
      <c r="E427" s="3" t="s">
        <v>304</v>
      </c>
      <c r="F427" s="3"/>
      <c r="G427" s="60">
        <f t="shared" ref="G427:I428" si="208">G428</f>
        <v>163.5</v>
      </c>
      <c r="H427" s="60">
        <f t="shared" si="208"/>
        <v>60</v>
      </c>
      <c r="I427" s="60">
        <f t="shared" si="208"/>
        <v>223.5</v>
      </c>
      <c r="J427" s="100"/>
    </row>
    <row r="428" spans="1:10" s="31" customFormat="1" ht="48" x14ac:dyDescent="0.2">
      <c r="A428" s="4" t="s">
        <v>310</v>
      </c>
      <c r="B428" s="3" t="s">
        <v>80</v>
      </c>
      <c r="C428" s="3" t="s">
        <v>54</v>
      </c>
      <c r="D428" s="3" t="s">
        <v>6</v>
      </c>
      <c r="E428" s="3" t="s">
        <v>309</v>
      </c>
      <c r="F428" s="3"/>
      <c r="G428" s="60">
        <f t="shared" si="208"/>
        <v>163.5</v>
      </c>
      <c r="H428" s="60">
        <f t="shared" si="208"/>
        <v>60</v>
      </c>
      <c r="I428" s="60">
        <f t="shared" si="208"/>
        <v>223.5</v>
      </c>
      <c r="J428" s="100"/>
    </row>
    <row r="429" spans="1:10" s="31" customFormat="1" ht="24" x14ac:dyDescent="0.2">
      <c r="A429" s="4" t="s">
        <v>45</v>
      </c>
      <c r="B429" s="3" t="s">
        <v>80</v>
      </c>
      <c r="C429" s="3" t="s">
        <v>54</v>
      </c>
      <c r="D429" s="3" t="s">
        <v>6</v>
      </c>
      <c r="E429" s="3" t="s">
        <v>309</v>
      </c>
      <c r="F429" s="3" t="s">
        <v>43</v>
      </c>
      <c r="G429" s="60">
        <v>163.5</v>
      </c>
      <c r="H429" s="240">
        <f>60</f>
        <v>60</v>
      </c>
      <c r="I429" s="60">
        <f>G429+H429</f>
        <v>223.5</v>
      </c>
      <c r="J429" s="100"/>
    </row>
    <row r="430" spans="1:10" s="31" customFormat="1" ht="12.75" x14ac:dyDescent="0.2">
      <c r="A430" s="4" t="s">
        <v>46</v>
      </c>
      <c r="B430" s="3" t="s">
        <v>80</v>
      </c>
      <c r="C430" s="3" t="s">
        <v>54</v>
      </c>
      <c r="D430" s="3" t="s">
        <v>6</v>
      </c>
      <c r="E430" s="3" t="s">
        <v>44</v>
      </c>
      <c r="F430" s="3"/>
      <c r="G430" s="60">
        <f>G431</f>
        <v>45</v>
      </c>
      <c r="H430" s="60">
        <f t="shared" ref="H430:I430" si="209">H431</f>
        <v>0</v>
      </c>
      <c r="I430" s="60">
        <f t="shared" si="209"/>
        <v>45</v>
      </c>
      <c r="J430" s="100"/>
    </row>
    <row r="431" spans="1:10" s="31" customFormat="1" ht="24" x14ac:dyDescent="0.2">
      <c r="A431" s="4" t="s">
        <v>45</v>
      </c>
      <c r="B431" s="3" t="s">
        <v>80</v>
      </c>
      <c r="C431" s="3" t="s">
        <v>54</v>
      </c>
      <c r="D431" s="3" t="s">
        <v>6</v>
      </c>
      <c r="E431" s="3" t="s">
        <v>44</v>
      </c>
      <c r="F431" s="3" t="s">
        <v>43</v>
      </c>
      <c r="G431" s="60">
        <v>45</v>
      </c>
      <c r="H431" s="240"/>
      <c r="I431" s="60">
        <f>G431+H431</f>
        <v>45</v>
      </c>
      <c r="J431" s="100"/>
    </row>
    <row r="432" spans="1:10" s="31" customFormat="1" ht="12.75" x14ac:dyDescent="0.2">
      <c r="A432" s="4" t="s">
        <v>33</v>
      </c>
      <c r="B432" s="3" t="s">
        <v>80</v>
      </c>
      <c r="C432" s="3" t="s">
        <v>28</v>
      </c>
      <c r="D432" s="3"/>
      <c r="E432" s="3"/>
      <c r="F432" s="3"/>
      <c r="G432" s="264">
        <f t="shared" ref="G432:I436" si="210">G433</f>
        <v>1300.4059999999999</v>
      </c>
      <c r="H432" s="264">
        <f t="shared" si="210"/>
        <v>0</v>
      </c>
      <c r="I432" s="264">
        <f t="shared" si="210"/>
        <v>1300.4059999999999</v>
      </c>
      <c r="J432" s="100"/>
    </row>
    <row r="433" spans="1:10" s="31" customFormat="1" ht="12.75" x14ac:dyDescent="0.2">
      <c r="A433" s="4" t="s">
        <v>32</v>
      </c>
      <c r="B433" s="3" t="s">
        <v>80</v>
      </c>
      <c r="C433" s="3" t="s">
        <v>28</v>
      </c>
      <c r="D433" s="3" t="s">
        <v>27</v>
      </c>
      <c r="E433" s="3"/>
      <c r="F433" s="3"/>
      <c r="G433" s="264">
        <f t="shared" si="210"/>
        <v>1300.4059999999999</v>
      </c>
      <c r="H433" s="264">
        <f t="shared" si="210"/>
        <v>0</v>
      </c>
      <c r="I433" s="264">
        <f t="shared" si="210"/>
        <v>1300.4059999999999</v>
      </c>
      <c r="J433" s="100"/>
    </row>
    <row r="434" spans="1:10" s="31" customFormat="1" ht="72" x14ac:dyDescent="0.2">
      <c r="A434" s="7" t="s">
        <v>429</v>
      </c>
      <c r="B434" s="3" t="s">
        <v>80</v>
      </c>
      <c r="C434" s="3" t="s">
        <v>28</v>
      </c>
      <c r="D434" s="3" t="s">
        <v>27</v>
      </c>
      <c r="E434" s="3" t="s">
        <v>31</v>
      </c>
      <c r="F434" s="3"/>
      <c r="G434" s="265">
        <f t="shared" si="210"/>
        <v>1300.4059999999999</v>
      </c>
      <c r="H434" s="265">
        <f t="shared" si="210"/>
        <v>0</v>
      </c>
      <c r="I434" s="265">
        <f t="shared" si="210"/>
        <v>1300.4059999999999</v>
      </c>
      <c r="J434" s="100"/>
    </row>
    <row r="435" spans="1:10" s="31" customFormat="1" ht="36" x14ac:dyDescent="0.2">
      <c r="A435" s="4" t="s">
        <v>30</v>
      </c>
      <c r="B435" s="3" t="s">
        <v>80</v>
      </c>
      <c r="C435" s="3" t="s">
        <v>28</v>
      </c>
      <c r="D435" s="3" t="s">
        <v>27</v>
      </c>
      <c r="E435" s="3" t="s">
        <v>311</v>
      </c>
      <c r="F435" s="3"/>
      <c r="G435" s="265">
        <f t="shared" si="210"/>
        <v>1300.4059999999999</v>
      </c>
      <c r="H435" s="265">
        <f t="shared" si="210"/>
        <v>0</v>
      </c>
      <c r="I435" s="265">
        <f t="shared" si="210"/>
        <v>1300.4059999999999</v>
      </c>
      <c r="J435" s="100"/>
    </row>
    <row r="436" spans="1:10" s="31" customFormat="1" ht="36" x14ac:dyDescent="0.2">
      <c r="A436" s="7" t="s">
        <v>312</v>
      </c>
      <c r="B436" s="3" t="s">
        <v>80</v>
      </c>
      <c r="C436" s="3" t="s">
        <v>28</v>
      </c>
      <c r="D436" s="3" t="s">
        <v>27</v>
      </c>
      <c r="E436" s="3" t="s">
        <v>313</v>
      </c>
      <c r="F436" s="3"/>
      <c r="G436" s="265">
        <f t="shared" si="210"/>
        <v>1300.4059999999999</v>
      </c>
      <c r="H436" s="265">
        <f t="shared" si="210"/>
        <v>0</v>
      </c>
      <c r="I436" s="265">
        <f t="shared" si="210"/>
        <v>1300.4059999999999</v>
      </c>
      <c r="J436" s="100"/>
    </row>
    <row r="437" spans="1:10" s="31" customFormat="1" ht="38.25" x14ac:dyDescent="0.2">
      <c r="A437" s="1" t="s">
        <v>29</v>
      </c>
      <c r="B437" s="3" t="s">
        <v>80</v>
      </c>
      <c r="C437" s="3" t="s">
        <v>28</v>
      </c>
      <c r="D437" s="3" t="s">
        <v>27</v>
      </c>
      <c r="E437" s="3" t="s">
        <v>313</v>
      </c>
      <c r="F437" s="3" t="s">
        <v>26</v>
      </c>
      <c r="G437" s="60">
        <v>1300.4059999999999</v>
      </c>
      <c r="H437" s="265"/>
      <c r="I437" s="60">
        <f>G437+H437</f>
        <v>1300.4059999999999</v>
      </c>
      <c r="J437" s="100"/>
    </row>
    <row r="438" spans="1:10" s="31" customFormat="1" ht="24" x14ac:dyDescent="0.2">
      <c r="A438" s="4" t="s">
        <v>168</v>
      </c>
      <c r="B438" s="3" t="s">
        <v>80</v>
      </c>
      <c r="C438" s="3" t="s">
        <v>24</v>
      </c>
      <c r="D438" s="3"/>
      <c r="E438" s="3"/>
      <c r="F438" s="3"/>
      <c r="G438" s="60">
        <f>G439</f>
        <v>1</v>
      </c>
      <c r="H438" s="60">
        <f t="shared" ref="H438:I439" si="211">H439</f>
        <v>0</v>
      </c>
      <c r="I438" s="60">
        <f t="shared" si="211"/>
        <v>1</v>
      </c>
      <c r="J438" s="100"/>
    </row>
    <row r="439" spans="1:10" s="31" customFormat="1" ht="24" x14ac:dyDescent="0.2">
      <c r="A439" s="4" t="s">
        <v>25</v>
      </c>
      <c r="B439" s="3" t="s">
        <v>80</v>
      </c>
      <c r="C439" s="3" t="s">
        <v>24</v>
      </c>
      <c r="D439" s="3" t="s">
        <v>15</v>
      </c>
      <c r="E439" s="3"/>
      <c r="F439" s="3"/>
      <c r="G439" s="60">
        <f>G440</f>
        <v>1</v>
      </c>
      <c r="H439" s="60">
        <f t="shared" si="211"/>
        <v>0</v>
      </c>
      <c r="I439" s="60">
        <f t="shared" si="211"/>
        <v>1</v>
      </c>
      <c r="J439" s="100"/>
    </row>
    <row r="440" spans="1:10" ht="72" x14ac:dyDescent="0.2">
      <c r="A440" s="7" t="s">
        <v>388</v>
      </c>
      <c r="B440" s="3" t="s">
        <v>80</v>
      </c>
      <c r="C440" s="3">
        <v>13</v>
      </c>
      <c r="D440" s="3" t="s">
        <v>15</v>
      </c>
      <c r="E440" s="3" t="s">
        <v>12</v>
      </c>
      <c r="F440" s="3"/>
      <c r="G440" s="240">
        <f>G441</f>
        <v>1</v>
      </c>
      <c r="H440" s="240">
        <f t="shared" ref="G440:I442" si="212">H441</f>
        <v>0</v>
      </c>
      <c r="I440" s="240">
        <f t="shared" si="212"/>
        <v>1</v>
      </c>
      <c r="J440" s="98"/>
    </row>
    <row r="441" spans="1:10" ht="48" x14ac:dyDescent="0.2">
      <c r="A441" s="4" t="s">
        <v>11</v>
      </c>
      <c r="B441" s="3" t="s">
        <v>80</v>
      </c>
      <c r="C441" s="3">
        <v>13</v>
      </c>
      <c r="D441" s="3" t="s">
        <v>15</v>
      </c>
      <c r="E441" s="3" t="s">
        <v>10</v>
      </c>
      <c r="F441" s="3"/>
      <c r="G441" s="240">
        <f t="shared" si="212"/>
        <v>1</v>
      </c>
      <c r="H441" s="240">
        <f t="shared" si="212"/>
        <v>0</v>
      </c>
      <c r="I441" s="240">
        <f t="shared" si="212"/>
        <v>1</v>
      </c>
      <c r="J441" s="98"/>
    </row>
    <row r="442" spans="1:10" ht="24" x14ac:dyDescent="0.2">
      <c r="A442" s="4" t="s">
        <v>389</v>
      </c>
      <c r="B442" s="3" t="s">
        <v>80</v>
      </c>
      <c r="C442" s="3">
        <v>13</v>
      </c>
      <c r="D442" s="3" t="s">
        <v>15</v>
      </c>
      <c r="E442" s="3" t="s">
        <v>23</v>
      </c>
      <c r="F442" s="3"/>
      <c r="G442" s="240">
        <f t="shared" si="212"/>
        <v>1</v>
      </c>
      <c r="H442" s="240">
        <f t="shared" si="212"/>
        <v>0</v>
      </c>
      <c r="I442" s="240">
        <f t="shared" si="212"/>
        <v>1</v>
      </c>
      <c r="J442" s="98"/>
    </row>
    <row r="443" spans="1:10" ht="24" x14ac:dyDescent="0.2">
      <c r="A443" s="4" t="s">
        <v>22</v>
      </c>
      <c r="B443" s="3" t="s">
        <v>80</v>
      </c>
      <c r="C443" s="3">
        <v>13</v>
      </c>
      <c r="D443" s="3" t="s">
        <v>15</v>
      </c>
      <c r="E443" s="3" t="s">
        <v>23</v>
      </c>
      <c r="F443" s="3" t="s">
        <v>21</v>
      </c>
      <c r="G443" s="60">
        <v>1</v>
      </c>
      <c r="H443" s="240"/>
      <c r="I443" s="60">
        <f>G443+H443</f>
        <v>1</v>
      </c>
      <c r="J443" s="98"/>
    </row>
    <row r="444" spans="1:10" s="31" customFormat="1" ht="48" x14ac:dyDescent="0.2">
      <c r="A444" s="77" t="s">
        <v>246</v>
      </c>
      <c r="B444" s="5" t="s">
        <v>211</v>
      </c>
      <c r="C444" s="5"/>
      <c r="D444" s="5"/>
      <c r="E444" s="5"/>
      <c r="F444" s="3"/>
      <c r="G444" s="59">
        <f>G445+G459+G512+G506</f>
        <v>53172.851209999993</v>
      </c>
      <c r="H444" s="59">
        <f>H445+H459+H512+H506</f>
        <v>1410.6091299999996</v>
      </c>
      <c r="I444" s="59">
        <f>I445+I459+I512+I506</f>
        <v>54583.460340000005</v>
      </c>
      <c r="J444" s="100"/>
    </row>
    <row r="445" spans="1:10" s="31" customFormat="1" ht="12.75" x14ac:dyDescent="0.2">
      <c r="A445" s="4" t="s">
        <v>185</v>
      </c>
      <c r="B445" s="3" t="s">
        <v>211</v>
      </c>
      <c r="C445" s="3" t="s">
        <v>79</v>
      </c>
      <c r="D445" s="3"/>
      <c r="E445" s="3"/>
      <c r="F445" s="3"/>
      <c r="G445" s="60">
        <f>G453+G446</f>
        <v>6831.8626299999996</v>
      </c>
      <c r="H445" s="60">
        <f>H453+H446</f>
        <v>-7.5</v>
      </c>
      <c r="I445" s="60">
        <f>I453+I446</f>
        <v>6824.3626299999996</v>
      </c>
      <c r="J445" s="100"/>
    </row>
    <row r="446" spans="1:10" s="31" customFormat="1" ht="12.75" x14ac:dyDescent="0.2">
      <c r="A446" s="4" t="s">
        <v>242</v>
      </c>
      <c r="B446" s="3" t="s">
        <v>211</v>
      </c>
      <c r="C446" s="3" t="s">
        <v>79</v>
      </c>
      <c r="D446" s="3" t="s">
        <v>6</v>
      </c>
      <c r="E446" s="3"/>
      <c r="F446" s="3"/>
      <c r="G446" s="60">
        <f>G447</f>
        <v>6781.8626299999996</v>
      </c>
      <c r="H446" s="60">
        <f t="shared" ref="H446:I446" si="213">H447</f>
        <v>-7.5</v>
      </c>
      <c r="I446" s="60">
        <f t="shared" si="213"/>
        <v>6774.3626299999996</v>
      </c>
      <c r="J446" s="100"/>
    </row>
    <row r="447" spans="1:10" ht="60" x14ac:dyDescent="0.2">
      <c r="A447" s="4" t="s">
        <v>377</v>
      </c>
      <c r="B447" s="3" t="s">
        <v>211</v>
      </c>
      <c r="C447" s="3" t="s">
        <v>79</v>
      </c>
      <c r="D447" s="3" t="s">
        <v>6</v>
      </c>
      <c r="E447" s="3" t="s">
        <v>448</v>
      </c>
      <c r="F447" s="3"/>
      <c r="G447" s="60">
        <f t="shared" ref="G447:I447" si="214">G448</f>
        <v>6781.8626299999996</v>
      </c>
      <c r="H447" s="60">
        <f t="shared" si="214"/>
        <v>-7.5</v>
      </c>
      <c r="I447" s="60">
        <f t="shared" si="214"/>
        <v>6774.3626299999996</v>
      </c>
      <c r="J447" s="98"/>
    </row>
    <row r="448" spans="1:10" ht="24" x14ac:dyDescent="0.2">
      <c r="A448" s="4" t="s">
        <v>85</v>
      </c>
      <c r="B448" s="3" t="s">
        <v>211</v>
      </c>
      <c r="C448" s="3" t="s">
        <v>79</v>
      </c>
      <c r="D448" s="3" t="s">
        <v>6</v>
      </c>
      <c r="E448" s="3" t="s">
        <v>449</v>
      </c>
      <c r="F448" s="3"/>
      <c r="G448" s="60">
        <f>G449+G451</f>
        <v>6781.8626299999996</v>
      </c>
      <c r="H448" s="60">
        <f>H449+H451</f>
        <v>-7.5</v>
      </c>
      <c r="I448" s="60">
        <f t="shared" ref="I448" si="215">I449+I451</f>
        <v>6774.3626299999996</v>
      </c>
      <c r="J448" s="98"/>
    </row>
    <row r="449" spans="1:10" ht="24" x14ac:dyDescent="0.2">
      <c r="A449" s="4" t="s">
        <v>430</v>
      </c>
      <c r="B449" s="3" t="s">
        <v>211</v>
      </c>
      <c r="C449" s="3" t="s">
        <v>79</v>
      </c>
      <c r="D449" s="3" t="s">
        <v>6</v>
      </c>
      <c r="E449" s="3" t="s">
        <v>466</v>
      </c>
      <c r="F449" s="3"/>
      <c r="G449" s="60">
        <f t="shared" ref="G449:I451" si="216">G450</f>
        <v>6370.4811499999996</v>
      </c>
      <c r="H449" s="60">
        <f t="shared" si="216"/>
        <v>-7.5</v>
      </c>
      <c r="I449" s="60">
        <f t="shared" si="216"/>
        <v>6362.9811499999996</v>
      </c>
      <c r="J449" s="98"/>
    </row>
    <row r="450" spans="1:10" ht="36" x14ac:dyDescent="0.2">
      <c r="A450" s="4" t="s">
        <v>29</v>
      </c>
      <c r="B450" s="3" t="s">
        <v>211</v>
      </c>
      <c r="C450" s="3" t="s">
        <v>79</v>
      </c>
      <c r="D450" s="3" t="s">
        <v>6</v>
      </c>
      <c r="E450" s="3" t="s">
        <v>466</v>
      </c>
      <c r="F450" s="3" t="s">
        <v>26</v>
      </c>
      <c r="G450" s="60">
        <v>6370.4811499999996</v>
      </c>
      <c r="H450" s="60">
        <f>-157.5+150</f>
        <v>-7.5</v>
      </c>
      <c r="I450" s="60">
        <f>G450+H450</f>
        <v>6362.9811499999996</v>
      </c>
      <c r="J450" s="98"/>
    </row>
    <row r="451" spans="1:10" ht="24" x14ac:dyDescent="0.2">
      <c r="A451" s="4" t="s">
        <v>545</v>
      </c>
      <c r="B451" s="3" t="s">
        <v>211</v>
      </c>
      <c r="C451" s="3" t="s">
        <v>79</v>
      </c>
      <c r="D451" s="3" t="s">
        <v>6</v>
      </c>
      <c r="E451" s="3" t="s">
        <v>543</v>
      </c>
      <c r="F451" s="3"/>
      <c r="G451" s="60">
        <f t="shared" si="216"/>
        <v>411.38148000000001</v>
      </c>
      <c r="H451" s="60">
        <f t="shared" si="216"/>
        <v>0</v>
      </c>
      <c r="I451" s="60">
        <f t="shared" si="216"/>
        <v>411.38148000000001</v>
      </c>
      <c r="J451" s="98"/>
    </row>
    <row r="452" spans="1:10" ht="36" x14ac:dyDescent="0.2">
      <c r="A452" s="4" t="s">
        <v>29</v>
      </c>
      <c r="B452" s="3" t="s">
        <v>211</v>
      </c>
      <c r="C452" s="3" t="s">
        <v>79</v>
      </c>
      <c r="D452" s="3" t="s">
        <v>6</v>
      </c>
      <c r="E452" s="3" t="s">
        <v>543</v>
      </c>
      <c r="F452" s="3" t="s">
        <v>26</v>
      </c>
      <c r="G452" s="60">
        <v>411.38148000000001</v>
      </c>
      <c r="H452" s="60"/>
      <c r="I452" s="60">
        <f>G452+H452</f>
        <v>411.38148000000001</v>
      </c>
      <c r="J452" s="98"/>
    </row>
    <row r="453" spans="1:10" s="31" customFormat="1" ht="12.75" x14ac:dyDescent="0.2">
      <c r="A453" s="4" t="s">
        <v>84</v>
      </c>
      <c r="B453" s="3" t="s">
        <v>211</v>
      </c>
      <c r="C453" s="3" t="s">
        <v>79</v>
      </c>
      <c r="D453" s="3" t="s">
        <v>79</v>
      </c>
      <c r="E453" s="3"/>
      <c r="F453" s="3"/>
      <c r="G453" s="60">
        <f t="shared" ref="G453:I455" si="217">G454</f>
        <v>50</v>
      </c>
      <c r="H453" s="60">
        <f t="shared" si="217"/>
        <v>0</v>
      </c>
      <c r="I453" s="60">
        <f t="shared" si="217"/>
        <v>50</v>
      </c>
      <c r="J453" s="100"/>
    </row>
    <row r="454" spans="1:10" s="31" customFormat="1" ht="48" x14ac:dyDescent="0.2">
      <c r="A454" s="4" t="s">
        <v>431</v>
      </c>
      <c r="B454" s="3" t="s">
        <v>211</v>
      </c>
      <c r="C454" s="3" t="s">
        <v>79</v>
      </c>
      <c r="D454" s="3" t="s">
        <v>79</v>
      </c>
      <c r="E454" s="3" t="s">
        <v>471</v>
      </c>
      <c r="F454" s="3"/>
      <c r="G454" s="240">
        <f t="shared" si="217"/>
        <v>50</v>
      </c>
      <c r="H454" s="240">
        <f t="shared" si="217"/>
        <v>0</v>
      </c>
      <c r="I454" s="240">
        <f t="shared" si="217"/>
        <v>50</v>
      </c>
      <c r="J454" s="100"/>
    </row>
    <row r="455" spans="1:10" s="31" customFormat="1" ht="24" x14ac:dyDescent="0.2">
      <c r="A455" s="4" t="s">
        <v>432</v>
      </c>
      <c r="B455" s="3" t="s">
        <v>211</v>
      </c>
      <c r="C455" s="3" t="s">
        <v>79</v>
      </c>
      <c r="D455" s="3" t="s">
        <v>79</v>
      </c>
      <c r="E455" s="3" t="s">
        <v>472</v>
      </c>
      <c r="F455" s="3"/>
      <c r="G455" s="240">
        <f t="shared" si="217"/>
        <v>50</v>
      </c>
      <c r="H455" s="240">
        <f t="shared" si="217"/>
        <v>0</v>
      </c>
      <c r="I455" s="240">
        <f t="shared" si="217"/>
        <v>50</v>
      </c>
      <c r="J455" s="100"/>
    </row>
    <row r="456" spans="1:10" s="31" customFormat="1" ht="36" x14ac:dyDescent="0.2">
      <c r="A456" s="4" t="s">
        <v>314</v>
      </c>
      <c r="B456" s="3" t="s">
        <v>211</v>
      </c>
      <c r="C456" s="3" t="s">
        <v>79</v>
      </c>
      <c r="D456" s="3" t="s">
        <v>79</v>
      </c>
      <c r="E456" s="3" t="s">
        <v>473</v>
      </c>
      <c r="F456" s="3"/>
      <c r="G456" s="240">
        <f>G458+G457</f>
        <v>50</v>
      </c>
      <c r="H456" s="240">
        <f t="shared" ref="H456:I456" si="218">H458+H457</f>
        <v>0</v>
      </c>
      <c r="I456" s="240">
        <f t="shared" si="218"/>
        <v>50</v>
      </c>
      <c r="J456" s="100"/>
    </row>
    <row r="457" spans="1:10" s="31" customFormat="1" ht="60" x14ac:dyDescent="0.2">
      <c r="A457" s="4" t="s">
        <v>38</v>
      </c>
      <c r="B457" s="3" t="s">
        <v>211</v>
      </c>
      <c r="C457" s="3" t="s">
        <v>79</v>
      </c>
      <c r="D457" s="3" t="s">
        <v>79</v>
      </c>
      <c r="E457" s="3" t="s">
        <v>473</v>
      </c>
      <c r="F457" s="3" t="s">
        <v>34</v>
      </c>
      <c r="G457" s="240">
        <v>3</v>
      </c>
      <c r="H457" s="240"/>
      <c r="I457" s="60">
        <f>G457+H457</f>
        <v>3</v>
      </c>
      <c r="J457" s="100"/>
    </row>
    <row r="458" spans="1:10" s="31" customFormat="1" ht="24" x14ac:dyDescent="0.2">
      <c r="A458" s="4" t="s">
        <v>47</v>
      </c>
      <c r="B458" s="3" t="s">
        <v>211</v>
      </c>
      <c r="C458" s="3" t="s">
        <v>79</v>
      </c>
      <c r="D458" s="3" t="s">
        <v>79</v>
      </c>
      <c r="E458" s="3" t="s">
        <v>473</v>
      </c>
      <c r="F458" s="3" t="s">
        <v>51</v>
      </c>
      <c r="G458" s="60">
        <v>47</v>
      </c>
      <c r="H458" s="240"/>
      <c r="I458" s="60">
        <f>G458+H458</f>
        <v>47</v>
      </c>
      <c r="J458" s="100"/>
    </row>
    <row r="459" spans="1:10" s="31" customFormat="1" ht="12.75" x14ac:dyDescent="0.2">
      <c r="A459" s="4" t="s">
        <v>78</v>
      </c>
      <c r="B459" s="3" t="s">
        <v>211</v>
      </c>
      <c r="C459" s="3" t="s">
        <v>72</v>
      </c>
      <c r="D459" s="3"/>
      <c r="E459" s="3"/>
      <c r="F459" s="3"/>
      <c r="G459" s="60">
        <f>G460+G483</f>
        <v>46050.988579999997</v>
      </c>
      <c r="H459" s="60">
        <f>H460+H483</f>
        <v>894.30912999999964</v>
      </c>
      <c r="I459" s="60">
        <f>I460+I483</f>
        <v>46945.297709999999</v>
      </c>
      <c r="J459" s="100"/>
    </row>
    <row r="460" spans="1:10" s="31" customFormat="1" ht="12.75" x14ac:dyDescent="0.2">
      <c r="A460" s="4" t="s">
        <v>77</v>
      </c>
      <c r="B460" s="3" t="s">
        <v>211</v>
      </c>
      <c r="C460" s="3" t="s">
        <v>72</v>
      </c>
      <c r="D460" s="3" t="s">
        <v>15</v>
      </c>
      <c r="E460" s="3"/>
      <c r="F460" s="3"/>
      <c r="G460" s="60">
        <f>G461</f>
        <v>42731.774579999998</v>
      </c>
      <c r="H460" s="60">
        <f t="shared" ref="H460:I460" si="219">H461</f>
        <v>-4312.8924600000009</v>
      </c>
      <c r="I460" s="60">
        <f t="shared" si="219"/>
        <v>38418.882120000002</v>
      </c>
      <c r="J460" s="100"/>
    </row>
    <row r="461" spans="1:10" s="31" customFormat="1" ht="48" x14ac:dyDescent="0.2">
      <c r="A461" s="4" t="s">
        <v>393</v>
      </c>
      <c r="B461" s="3" t="s">
        <v>211</v>
      </c>
      <c r="C461" s="3" t="s">
        <v>72</v>
      </c>
      <c r="D461" s="3" t="s">
        <v>15</v>
      </c>
      <c r="E461" s="3" t="s">
        <v>41</v>
      </c>
      <c r="F461" s="3"/>
      <c r="G461" s="240">
        <f>G462+G471+G480</f>
        <v>42731.774579999998</v>
      </c>
      <c r="H461" s="240">
        <f t="shared" ref="H461:I461" si="220">H462+H471+H480</f>
        <v>-4312.8924600000009</v>
      </c>
      <c r="I461" s="240">
        <f t="shared" si="220"/>
        <v>38418.882120000002</v>
      </c>
      <c r="J461" s="100"/>
    </row>
    <row r="462" spans="1:10" s="31" customFormat="1" ht="36" x14ac:dyDescent="0.2">
      <c r="A462" s="4" t="s">
        <v>40</v>
      </c>
      <c r="B462" s="3" t="s">
        <v>211</v>
      </c>
      <c r="C462" s="3" t="s">
        <v>72</v>
      </c>
      <c r="D462" s="3" t="s">
        <v>15</v>
      </c>
      <c r="E462" s="3" t="s">
        <v>308</v>
      </c>
      <c r="F462" s="3"/>
      <c r="G462" s="240">
        <f>G463+G467+G465+G469</f>
        <v>26624.98632</v>
      </c>
      <c r="H462" s="240">
        <f t="shared" ref="H462:I462" si="221">H463+H467+H465+H469</f>
        <v>-914.24160000000006</v>
      </c>
      <c r="I462" s="240">
        <f t="shared" si="221"/>
        <v>25710.744720000002</v>
      </c>
      <c r="J462" s="100"/>
    </row>
    <row r="463" spans="1:10" s="31" customFormat="1" ht="24" x14ac:dyDescent="0.2">
      <c r="A463" s="4" t="s">
        <v>315</v>
      </c>
      <c r="B463" s="3" t="s">
        <v>211</v>
      </c>
      <c r="C463" s="3" t="s">
        <v>72</v>
      </c>
      <c r="D463" s="3" t="s">
        <v>15</v>
      </c>
      <c r="E463" s="3" t="s">
        <v>39</v>
      </c>
      <c r="F463" s="3"/>
      <c r="G463" s="240">
        <f>G464</f>
        <v>21912.400000000001</v>
      </c>
      <c r="H463" s="240">
        <f t="shared" ref="H463:I463" si="222">H464</f>
        <v>-914.24054000000001</v>
      </c>
      <c r="I463" s="240">
        <f t="shared" si="222"/>
        <v>20998.159460000003</v>
      </c>
      <c r="J463" s="100"/>
    </row>
    <row r="464" spans="1:10" s="31" customFormat="1" ht="36" x14ac:dyDescent="0.2">
      <c r="A464" s="4" t="s">
        <v>29</v>
      </c>
      <c r="B464" s="3" t="s">
        <v>211</v>
      </c>
      <c r="C464" s="3" t="s">
        <v>72</v>
      </c>
      <c r="D464" s="3" t="s">
        <v>15</v>
      </c>
      <c r="E464" s="3" t="s">
        <v>39</v>
      </c>
      <c r="F464" s="3" t="s">
        <v>26</v>
      </c>
      <c r="G464" s="60">
        <v>21912.400000000001</v>
      </c>
      <c r="H464" s="240">
        <f>-1164.24054+0.00106+250-0.00106</f>
        <v>-914.24054000000001</v>
      </c>
      <c r="I464" s="60">
        <f>G464+H464</f>
        <v>20998.159460000003</v>
      </c>
      <c r="J464" s="100"/>
    </row>
    <row r="465" spans="1:10" s="31" customFormat="1" ht="24" x14ac:dyDescent="0.2">
      <c r="A465" s="4" t="s">
        <v>545</v>
      </c>
      <c r="B465" s="3" t="s">
        <v>211</v>
      </c>
      <c r="C465" s="3" t="s">
        <v>72</v>
      </c>
      <c r="D465" s="3" t="s">
        <v>15</v>
      </c>
      <c r="E465" s="3" t="s">
        <v>544</v>
      </c>
      <c r="F465" s="3"/>
      <c r="G465" s="60">
        <f>G466</f>
        <v>676.77</v>
      </c>
      <c r="H465" s="60">
        <f t="shared" ref="H465" si="223">H466</f>
        <v>0</v>
      </c>
      <c r="I465" s="60">
        <f t="shared" ref="I465" si="224">I466</f>
        <v>676.77</v>
      </c>
      <c r="J465" s="100"/>
    </row>
    <row r="466" spans="1:10" s="31" customFormat="1" ht="36" x14ac:dyDescent="0.2">
      <c r="A466" s="4" t="s">
        <v>29</v>
      </c>
      <c r="B466" s="3" t="s">
        <v>211</v>
      </c>
      <c r="C466" s="3" t="s">
        <v>72</v>
      </c>
      <c r="D466" s="3" t="s">
        <v>15</v>
      </c>
      <c r="E466" s="3" t="s">
        <v>544</v>
      </c>
      <c r="F466" s="3" t="s">
        <v>26</v>
      </c>
      <c r="G466" s="60">
        <v>676.77</v>
      </c>
      <c r="H466" s="240"/>
      <c r="I466" s="60">
        <f t="shared" ref="I466" si="225">G466+H466</f>
        <v>676.77</v>
      </c>
      <c r="J466" s="100"/>
    </row>
    <row r="467" spans="1:10" s="31" customFormat="1" ht="48" x14ac:dyDescent="0.2">
      <c r="A467" s="4" t="s">
        <v>546</v>
      </c>
      <c r="B467" s="3" t="s">
        <v>211</v>
      </c>
      <c r="C467" s="3" t="s">
        <v>72</v>
      </c>
      <c r="D467" s="3" t="s">
        <v>15</v>
      </c>
      <c r="E467" s="3" t="s">
        <v>547</v>
      </c>
      <c r="F467" s="3"/>
      <c r="G467" s="60">
        <f>G468</f>
        <v>1742.7551000000001</v>
      </c>
      <c r="H467" s="60">
        <f t="shared" ref="H467:I467" si="226">H468</f>
        <v>-8.8000000000000003E-4</v>
      </c>
      <c r="I467" s="60">
        <f t="shared" si="226"/>
        <v>1742.75422</v>
      </c>
      <c r="J467" s="100"/>
    </row>
    <row r="468" spans="1:10" s="31" customFormat="1" ht="36" x14ac:dyDescent="0.2">
      <c r="A468" s="4" t="s">
        <v>29</v>
      </c>
      <c r="B468" s="3" t="s">
        <v>211</v>
      </c>
      <c r="C468" s="3" t="s">
        <v>72</v>
      </c>
      <c r="D468" s="3" t="s">
        <v>15</v>
      </c>
      <c r="E468" s="3" t="s">
        <v>547</v>
      </c>
      <c r="F468" s="3" t="s">
        <v>26</v>
      </c>
      <c r="G468" s="60">
        <v>1742.7551000000001</v>
      </c>
      <c r="H468" s="240">
        <f>-0.00088</f>
        <v>-8.8000000000000003E-4</v>
      </c>
      <c r="I468" s="60">
        <f t="shared" ref="I468" si="227">G468+H468</f>
        <v>1742.75422</v>
      </c>
      <c r="J468" s="100"/>
    </row>
    <row r="469" spans="1:10" s="31" customFormat="1" ht="36" x14ac:dyDescent="0.2">
      <c r="A469" s="4" t="s">
        <v>549</v>
      </c>
      <c r="B469" s="3" t="s">
        <v>211</v>
      </c>
      <c r="C469" s="3" t="s">
        <v>72</v>
      </c>
      <c r="D469" s="3" t="s">
        <v>15</v>
      </c>
      <c r="E469" s="3" t="s">
        <v>550</v>
      </c>
      <c r="F469" s="3"/>
      <c r="G469" s="60">
        <f>G470</f>
        <v>2293.06122</v>
      </c>
      <c r="H469" s="60">
        <f t="shared" ref="H469" si="228">H470</f>
        <v>-1.8000000000000001E-4</v>
      </c>
      <c r="I469" s="60">
        <f t="shared" ref="I469" si="229">I470</f>
        <v>2293.06104</v>
      </c>
      <c r="J469" s="100"/>
    </row>
    <row r="470" spans="1:10" s="31" customFormat="1" ht="36" x14ac:dyDescent="0.2">
      <c r="A470" s="4" t="s">
        <v>29</v>
      </c>
      <c r="B470" s="3" t="s">
        <v>211</v>
      </c>
      <c r="C470" s="3" t="s">
        <v>72</v>
      </c>
      <c r="D470" s="3" t="s">
        <v>15</v>
      </c>
      <c r="E470" s="3" t="s">
        <v>550</v>
      </c>
      <c r="F470" s="3" t="s">
        <v>26</v>
      </c>
      <c r="G470" s="60">
        <v>2293.06122</v>
      </c>
      <c r="H470" s="240">
        <f>-0.00018</f>
        <v>-1.8000000000000001E-4</v>
      </c>
      <c r="I470" s="60">
        <f t="shared" ref="I470" si="230">G470+H470</f>
        <v>2293.06104</v>
      </c>
      <c r="J470" s="100"/>
    </row>
    <row r="471" spans="1:10" s="31" customFormat="1" ht="36" x14ac:dyDescent="0.2">
      <c r="A471" s="4" t="s">
        <v>239</v>
      </c>
      <c r="B471" s="3" t="s">
        <v>211</v>
      </c>
      <c r="C471" s="3" t="s">
        <v>72</v>
      </c>
      <c r="D471" s="3" t="s">
        <v>15</v>
      </c>
      <c r="E471" s="3" t="s">
        <v>316</v>
      </c>
      <c r="F471" s="3"/>
      <c r="G471" s="240">
        <f>G472+G474+G476+G478</f>
        <v>16106.788259999999</v>
      </c>
      <c r="H471" s="240">
        <f t="shared" ref="H471:I471" si="231">H472+H474+H476+H478</f>
        <v>-3603.1170000000002</v>
      </c>
      <c r="I471" s="240">
        <f t="shared" si="231"/>
        <v>12503.671259999999</v>
      </c>
      <c r="J471" s="100"/>
    </row>
    <row r="472" spans="1:10" s="31" customFormat="1" ht="36" x14ac:dyDescent="0.2">
      <c r="A472" s="4" t="s">
        <v>318</v>
      </c>
      <c r="B472" s="3" t="s">
        <v>211</v>
      </c>
      <c r="C472" s="3" t="s">
        <v>72</v>
      </c>
      <c r="D472" s="3" t="s">
        <v>15</v>
      </c>
      <c r="E472" s="3" t="s">
        <v>317</v>
      </c>
      <c r="F472" s="3"/>
      <c r="G472" s="240">
        <f>G473</f>
        <v>15434.07</v>
      </c>
      <c r="H472" s="240">
        <f t="shared" ref="H472:I472" si="232">H473</f>
        <v>-3041.3009999999999</v>
      </c>
      <c r="I472" s="240">
        <f t="shared" si="232"/>
        <v>12392.769</v>
      </c>
      <c r="J472" s="100"/>
    </row>
    <row r="473" spans="1:10" s="31" customFormat="1" ht="36" x14ac:dyDescent="0.2">
      <c r="A473" s="4" t="s">
        <v>29</v>
      </c>
      <c r="B473" s="3" t="s">
        <v>211</v>
      </c>
      <c r="C473" s="3" t="s">
        <v>72</v>
      </c>
      <c r="D473" s="3" t="s">
        <v>15</v>
      </c>
      <c r="E473" s="3" t="s">
        <v>317</v>
      </c>
      <c r="F473" s="3" t="s">
        <v>26</v>
      </c>
      <c r="G473" s="60">
        <v>15434.07</v>
      </c>
      <c r="H473" s="240">
        <f>-3121.301+80</f>
        <v>-3041.3009999999999</v>
      </c>
      <c r="I473" s="60">
        <f>G473+H473</f>
        <v>12392.769</v>
      </c>
      <c r="J473" s="100"/>
    </row>
    <row r="474" spans="1:10" s="31" customFormat="1" ht="12.75" x14ac:dyDescent="0.2">
      <c r="A474" s="7" t="s">
        <v>548</v>
      </c>
      <c r="B474" s="3" t="s">
        <v>211</v>
      </c>
      <c r="C474" s="3" t="s">
        <v>72</v>
      </c>
      <c r="D474" s="3" t="s">
        <v>15</v>
      </c>
      <c r="E474" s="3" t="s">
        <v>607</v>
      </c>
      <c r="F474" s="3"/>
      <c r="G474" s="60">
        <f>G475</f>
        <v>672.71825999999999</v>
      </c>
      <c r="H474" s="60">
        <f t="shared" ref="H474:I478" si="233">H475</f>
        <v>-672.71825999999999</v>
      </c>
      <c r="I474" s="60">
        <f t="shared" si="233"/>
        <v>0</v>
      </c>
      <c r="J474" s="100"/>
    </row>
    <row r="475" spans="1:10" s="31" customFormat="1" ht="36" x14ac:dyDescent="0.2">
      <c r="A475" s="7" t="s">
        <v>29</v>
      </c>
      <c r="B475" s="3" t="s">
        <v>211</v>
      </c>
      <c r="C475" s="3" t="s">
        <v>72</v>
      </c>
      <c r="D475" s="3" t="s">
        <v>15</v>
      </c>
      <c r="E475" s="3" t="s">
        <v>607</v>
      </c>
      <c r="F475" s="3" t="s">
        <v>26</v>
      </c>
      <c r="G475" s="60">
        <v>672.71825999999999</v>
      </c>
      <c r="H475" s="240">
        <f>-659.26316-13.4551</f>
        <v>-672.71825999999999</v>
      </c>
      <c r="I475" s="60">
        <f t="shared" ref="I475" si="234">G475+H475</f>
        <v>0</v>
      </c>
      <c r="J475" s="100"/>
    </row>
    <row r="476" spans="1:10" s="31" customFormat="1" ht="24" x14ac:dyDescent="0.2">
      <c r="A476" s="7" t="s">
        <v>655</v>
      </c>
      <c r="B476" s="3" t="s">
        <v>211</v>
      </c>
      <c r="C476" s="3" t="s">
        <v>72</v>
      </c>
      <c r="D476" s="3" t="s">
        <v>15</v>
      </c>
      <c r="E476" s="3" t="s">
        <v>630</v>
      </c>
      <c r="F476" s="3"/>
      <c r="G476" s="60">
        <f>G477</f>
        <v>0</v>
      </c>
      <c r="H476" s="60">
        <f t="shared" si="233"/>
        <v>6.9710000000000001</v>
      </c>
      <c r="I476" s="60">
        <f t="shared" si="233"/>
        <v>6.9710000000000001</v>
      </c>
      <c r="J476" s="100"/>
    </row>
    <row r="477" spans="1:10" s="31" customFormat="1" ht="36" x14ac:dyDescent="0.2">
      <c r="A477" s="7" t="s">
        <v>29</v>
      </c>
      <c r="B477" s="3" t="s">
        <v>211</v>
      </c>
      <c r="C477" s="3" t="s">
        <v>72</v>
      </c>
      <c r="D477" s="3" t="s">
        <v>15</v>
      </c>
      <c r="E477" s="3" t="s">
        <v>630</v>
      </c>
      <c r="F477" s="3" t="s">
        <v>26</v>
      </c>
      <c r="G477" s="60"/>
      <c r="H477" s="240">
        <f>6.83158+0.13942</f>
        <v>6.9710000000000001</v>
      </c>
      <c r="I477" s="60">
        <f t="shared" ref="I477" si="235">G477+H477</f>
        <v>6.9710000000000001</v>
      </c>
      <c r="J477" s="100"/>
    </row>
    <row r="478" spans="1:10" s="31" customFormat="1" ht="36" x14ac:dyDescent="0.2">
      <c r="A478" s="7" t="s">
        <v>656</v>
      </c>
      <c r="B478" s="3" t="s">
        <v>211</v>
      </c>
      <c r="C478" s="3" t="s">
        <v>72</v>
      </c>
      <c r="D478" s="3" t="s">
        <v>15</v>
      </c>
      <c r="E478" s="3" t="s">
        <v>631</v>
      </c>
      <c r="F478" s="3"/>
      <c r="G478" s="60">
        <f>G479</f>
        <v>0</v>
      </c>
      <c r="H478" s="60">
        <f t="shared" si="233"/>
        <v>103.93126000000001</v>
      </c>
      <c r="I478" s="60">
        <f t="shared" si="233"/>
        <v>103.93126000000001</v>
      </c>
      <c r="J478" s="100"/>
    </row>
    <row r="479" spans="1:10" s="31" customFormat="1" ht="36" x14ac:dyDescent="0.2">
      <c r="A479" s="7" t="s">
        <v>29</v>
      </c>
      <c r="B479" s="3" t="s">
        <v>211</v>
      </c>
      <c r="C479" s="3" t="s">
        <v>72</v>
      </c>
      <c r="D479" s="3" t="s">
        <v>15</v>
      </c>
      <c r="E479" s="3" t="s">
        <v>631</v>
      </c>
      <c r="F479" s="3" t="s">
        <v>26</v>
      </c>
      <c r="G479" s="60"/>
      <c r="H479" s="240">
        <f>101.85263+2.07863</f>
        <v>103.93126000000001</v>
      </c>
      <c r="I479" s="60">
        <f t="shared" ref="I479" si="236">G479+H479</f>
        <v>103.93126000000001</v>
      </c>
      <c r="J479" s="100"/>
    </row>
    <row r="480" spans="1:10" s="31" customFormat="1" ht="24" x14ac:dyDescent="0.2">
      <c r="A480" s="4" t="s">
        <v>653</v>
      </c>
      <c r="B480" s="3" t="s">
        <v>211</v>
      </c>
      <c r="C480" s="3" t="s">
        <v>72</v>
      </c>
      <c r="D480" s="3" t="s">
        <v>15</v>
      </c>
      <c r="E480" s="3" t="s">
        <v>654</v>
      </c>
      <c r="F480" s="3"/>
      <c r="G480" s="60">
        <f>G481</f>
        <v>0</v>
      </c>
      <c r="H480" s="60">
        <f t="shared" ref="H480:H481" si="237">H481</f>
        <v>204.46614</v>
      </c>
      <c r="I480" s="60">
        <f t="shared" ref="I480:I481" si="238">I481</f>
        <v>204.46614</v>
      </c>
      <c r="J480" s="100"/>
    </row>
    <row r="481" spans="1:10" s="31" customFormat="1" ht="24" x14ac:dyDescent="0.2">
      <c r="A481" s="4" t="s">
        <v>633</v>
      </c>
      <c r="B481" s="3" t="s">
        <v>211</v>
      </c>
      <c r="C481" s="3" t="s">
        <v>72</v>
      </c>
      <c r="D481" s="3" t="s">
        <v>15</v>
      </c>
      <c r="E481" s="3" t="s">
        <v>632</v>
      </c>
      <c r="F481" s="3"/>
      <c r="G481" s="60">
        <f>G482</f>
        <v>0</v>
      </c>
      <c r="H481" s="60">
        <f t="shared" si="237"/>
        <v>204.46614</v>
      </c>
      <c r="I481" s="60">
        <f t="shared" si="238"/>
        <v>204.46614</v>
      </c>
      <c r="J481" s="100"/>
    </row>
    <row r="482" spans="1:10" s="31" customFormat="1" ht="36" x14ac:dyDescent="0.2">
      <c r="A482" s="4" t="s">
        <v>29</v>
      </c>
      <c r="B482" s="3" t="s">
        <v>211</v>
      </c>
      <c r="C482" s="3" t="s">
        <v>72</v>
      </c>
      <c r="D482" s="3" t="s">
        <v>15</v>
      </c>
      <c r="E482" s="3" t="s">
        <v>632</v>
      </c>
      <c r="F482" s="3" t="s">
        <v>26</v>
      </c>
      <c r="G482" s="60"/>
      <c r="H482" s="240">
        <f>200.37682+4.08932</f>
        <v>204.46614</v>
      </c>
      <c r="I482" s="60">
        <f t="shared" ref="I482" si="239">G482+H482</f>
        <v>204.46614</v>
      </c>
      <c r="J482" s="100"/>
    </row>
    <row r="483" spans="1:10" s="31" customFormat="1" ht="24" x14ac:dyDescent="0.2">
      <c r="A483" s="4" t="s">
        <v>76</v>
      </c>
      <c r="B483" s="3" t="s">
        <v>211</v>
      </c>
      <c r="C483" s="3" t="s">
        <v>72</v>
      </c>
      <c r="D483" s="3" t="s">
        <v>59</v>
      </c>
      <c r="E483" s="3"/>
      <c r="F483" s="3"/>
      <c r="G483" s="60">
        <f>G484+G499+G490</f>
        <v>3319.2139999999999</v>
      </c>
      <c r="H483" s="60">
        <f t="shared" ref="H483:I483" si="240">H484+H499+H490</f>
        <v>5207.2015900000006</v>
      </c>
      <c r="I483" s="60">
        <f t="shared" si="240"/>
        <v>8526.4155900000005</v>
      </c>
      <c r="J483" s="100"/>
    </row>
    <row r="484" spans="1:10" s="31" customFormat="1" ht="96" x14ac:dyDescent="0.2">
      <c r="A484" s="7" t="s">
        <v>319</v>
      </c>
      <c r="B484" s="3" t="s">
        <v>211</v>
      </c>
      <c r="C484" s="3" t="s">
        <v>72</v>
      </c>
      <c r="D484" s="3" t="s">
        <v>59</v>
      </c>
      <c r="E484" s="3" t="s">
        <v>635</v>
      </c>
      <c r="F484" s="3"/>
      <c r="G484" s="60">
        <f>G485+G488</f>
        <v>1107.8399999999999</v>
      </c>
      <c r="H484" s="60">
        <f t="shared" ref="H484:I484" si="241">H485+H488</f>
        <v>520.21100000000001</v>
      </c>
      <c r="I484" s="60">
        <f t="shared" si="241"/>
        <v>1628.0509999999999</v>
      </c>
      <c r="J484" s="100"/>
    </row>
    <row r="485" spans="1:10" s="31" customFormat="1" ht="36" x14ac:dyDescent="0.2">
      <c r="A485" s="7" t="s">
        <v>320</v>
      </c>
      <c r="B485" s="3" t="s">
        <v>211</v>
      </c>
      <c r="C485" s="3" t="s">
        <v>72</v>
      </c>
      <c r="D485" s="3" t="s">
        <v>59</v>
      </c>
      <c r="E485" s="3" t="s">
        <v>528</v>
      </c>
      <c r="F485" s="3"/>
      <c r="G485" s="60">
        <f t="shared" ref="G485:I485" si="242">G486</f>
        <v>1107.8399999999999</v>
      </c>
      <c r="H485" s="60">
        <f t="shared" si="242"/>
        <v>505.21912000000003</v>
      </c>
      <c r="I485" s="60">
        <f t="shared" si="242"/>
        <v>1613.0591199999999</v>
      </c>
      <c r="J485" s="100"/>
    </row>
    <row r="486" spans="1:10" s="31" customFormat="1" ht="24" x14ac:dyDescent="0.2">
      <c r="A486" s="4" t="s">
        <v>74</v>
      </c>
      <c r="B486" s="3" t="s">
        <v>211</v>
      </c>
      <c r="C486" s="3" t="s">
        <v>72</v>
      </c>
      <c r="D486" s="3" t="s">
        <v>59</v>
      </c>
      <c r="E486" s="3" t="s">
        <v>529</v>
      </c>
      <c r="F486" s="3"/>
      <c r="G486" s="240">
        <f t="shared" ref="G486:I486" si="243">G487</f>
        <v>1107.8399999999999</v>
      </c>
      <c r="H486" s="240">
        <f t="shared" si="243"/>
        <v>505.21912000000003</v>
      </c>
      <c r="I486" s="240">
        <f t="shared" si="243"/>
        <v>1613.0591199999999</v>
      </c>
      <c r="J486" s="100"/>
    </row>
    <row r="487" spans="1:10" s="31" customFormat="1" ht="60" x14ac:dyDescent="0.2">
      <c r="A487" s="4" t="s">
        <v>38</v>
      </c>
      <c r="B487" s="3" t="s">
        <v>211</v>
      </c>
      <c r="C487" s="3" t="s">
        <v>72</v>
      </c>
      <c r="D487" s="3" t="s">
        <v>59</v>
      </c>
      <c r="E487" s="3" t="s">
        <v>529</v>
      </c>
      <c r="F487" s="3" t="s">
        <v>34</v>
      </c>
      <c r="G487" s="60">
        <f>850.875+256.965</f>
        <v>1107.8399999999999</v>
      </c>
      <c r="H487" s="240">
        <f>155.5+46.961+232.5337+70.22442</f>
        <v>505.21912000000003</v>
      </c>
      <c r="I487" s="60">
        <f>G487+H487</f>
        <v>1613.0591199999999</v>
      </c>
      <c r="J487" s="100"/>
    </row>
    <row r="488" spans="1:10" s="31" customFormat="1" ht="24" x14ac:dyDescent="0.2">
      <c r="A488" s="4" t="s">
        <v>545</v>
      </c>
      <c r="B488" s="3" t="s">
        <v>211</v>
      </c>
      <c r="C488" s="3" t="s">
        <v>72</v>
      </c>
      <c r="D488" s="3" t="s">
        <v>59</v>
      </c>
      <c r="E488" s="3" t="s">
        <v>634</v>
      </c>
      <c r="F488" s="3"/>
      <c r="G488" s="263">
        <f t="shared" ref="G488:I488" si="244">G489</f>
        <v>0</v>
      </c>
      <c r="H488" s="263">
        <f t="shared" si="244"/>
        <v>14.991879999999998</v>
      </c>
      <c r="I488" s="263">
        <f t="shared" si="244"/>
        <v>14.991879999999998</v>
      </c>
      <c r="J488" s="100"/>
    </row>
    <row r="489" spans="1:10" s="31" customFormat="1" ht="60" x14ac:dyDescent="0.2">
      <c r="A489" s="4" t="s">
        <v>38</v>
      </c>
      <c r="B489" s="3" t="s">
        <v>211</v>
      </c>
      <c r="C489" s="3" t="s">
        <v>72</v>
      </c>
      <c r="D489" s="3" t="s">
        <v>59</v>
      </c>
      <c r="E489" s="3" t="s">
        <v>634</v>
      </c>
      <c r="F489" s="3" t="s">
        <v>34</v>
      </c>
      <c r="G489" s="60"/>
      <c r="H489" s="263">
        <f>32.139+9.706-20.6245-6.22862</f>
        <v>14.991879999999998</v>
      </c>
      <c r="I489" s="60">
        <f>G489+H489</f>
        <v>14.991879999999998</v>
      </c>
      <c r="J489" s="100"/>
    </row>
    <row r="490" spans="1:10" s="31" customFormat="1" ht="48" x14ac:dyDescent="0.2">
      <c r="A490" s="4" t="s">
        <v>636</v>
      </c>
      <c r="B490" s="3" t="s">
        <v>211</v>
      </c>
      <c r="C490" s="3" t="s">
        <v>72</v>
      </c>
      <c r="D490" s="3" t="s">
        <v>59</v>
      </c>
      <c r="E490" s="3" t="s">
        <v>637</v>
      </c>
      <c r="F490" s="3"/>
      <c r="G490" s="60">
        <f>G491+G497</f>
        <v>0</v>
      </c>
      <c r="H490" s="60">
        <f>H491+H497</f>
        <v>6898.3645900000001</v>
      </c>
      <c r="I490" s="60">
        <f t="shared" ref="I490:I498" si="245">G490+H490</f>
        <v>6898.3645900000001</v>
      </c>
      <c r="J490" s="100"/>
    </row>
    <row r="491" spans="1:10" s="31" customFormat="1" ht="36" x14ac:dyDescent="0.2">
      <c r="A491" s="4" t="s">
        <v>639</v>
      </c>
      <c r="B491" s="3" t="s">
        <v>211</v>
      </c>
      <c r="C491" s="3" t="s">
        <v>72</v>
      </c>
      <c r="D491" s="3" t="s">
        <v>59</v>
      </c>
      <c r="E491" s="3" t="s">
        <v>640</v>
      </c>
      <c r="F491" s="3"/>
      <c r="G491" s="60">
        <f>G492+G494</f>
        <v>0</v>
      </c>
      <c r="H491" s="60">
        <f>H492+H494</f>
        <v>6456.1570400000001</v>
      </c>
      <c r="I491" s="60">
        <f t="shared" si="245"/>
        <v>6456.1570400000001</v>
      </c>
      <c r="J491" s="100"/>
    </row>
    <row r="492" spans="1:10" s="31" customFormat="1" ht="24" x14ac:dyDescent="0.2">
      <c r="A492" s="4" t="s">
        <v>643</v>
      </c>
      <c r="B492" s="3" t="s">
        <v>211</v>
      </c>
      <c r="C492" s="3" t="s">
        <v>72</v>
      </c>
      <c r="D492" s="3" t="s">
        <v>59</v>
      </c>
      <c r="E492" s="3" t="s">
        <v>638</v>
      </c>
      <c r="F492" s="3"/>
      <c r="G492" s="60">
        <f>G493</f>
        <v>0</v>
      </c>
      <c r="H492" s="60">
        <f>H493</f>
        <v>4820.79054</v>
      </c>
      <c r="I492" s="60">
        <f t="shared" si="245"/>
        <v>4820.79054</v>
      </c>
      <c r="J492" s="100"/>
    </row>
    <row r="493" spans="1:10" s="31" customFormat="1" ht="60" x14ac:dyDescent="0.2">
      <c r="A493" s="4" t="s">
        <v>38</v>
      </c>
      <c r="B493" s="3" t="s">
        <v>211</v>
      </c>
      <c r="C493" s="3" t="s">
        <v>72</v>
      </c>
      <c r="D493" s="3" t="s">
        <v>59</v>
      </c>
      <c r="E493" s="3" t="s">
        <v>638</v>
      </c>
      <c r="F493" s="3" t="s">
        <v>34</v>
      </c>
      <c r="G493" s="60"/>
      <c r="H493" s="60">
        <f>3702.60451+1118.18603</f>
        <v>4820.79054</v>
      </c>
      <c r="I493" s="60">
        <f t="shared" si="245"/>
        <v>4820.79054</v>
      </c>
      <c r="J493" s="100"/>
    </row>
    <row r="494" spans="1:10" s="31" customFormat="1" ht="24" x14ac:dyDescent="0.2">
      <c r="A494" s="7" t="s">
        <v>641</v>
      </c>
      <c r="B494" s="3" t="s">
        <v>211</v>
      </c>
      <c r="C494" s="3" t="s">
        <v>72</v>
      </c>
      <c r="D494" s="3" t="s">
        <v>59</v>
      </c>
      <c r="E494" s="3" t="s">
        <v>642</v>
      </c>
      <c r="F494" s="3"/>
      <c r="G494" s="60">
        <f>G495+G496</f>
        <v>0</v>
      </c>
      <c r="H494" s="60">
        <f>H495+H496</f>
        <v>1635.3665000000001</v>
      </c>
      <c r="I494" s="60">
        <f t="shared" si="245"/>
        <v>1635.3665000000001</v>
      </c>
      <c r="J494" s="100"/>
    </row>
    <row r="495" spans="1:10" s="31" customFormat="1" ht="24" x14ac:dyDescent="0.2">
      <c r="A495" s="4" t="s">
        <v>47</v>
      </c>
      <c r="B495" s="3" t="s">
        <v>211</v>
      </c>
      <c r="C495" s="3" t="s">
        <v>72</v>
      </c>
      <c r="D495" s="3" t="s">
        <v>59</v>
      </c>
      <c r="E495" s="3" t="s">
        <v>642</v>
      </c>
      <c r="F495" s="3" t="s">
        <v>51</v>
      </c>
      <c r="G495" s="60"/>
      <c r="H495" s="60">
        <f>1308.064+12+95+80+185+15+30+180-330+10.5625</f>
        <v>1585.6265000000001</v>
      </c>
      <c r="I495" s="60">
        <f t="shared" si="245"/>
        <v>1585.6265000000001</v>
      </c>
      <c r="J495" s="100"/>
    </row>
    <row r="496" spans="1:10" s="31" customFormat="1" ht="24" x14ac:dyDescent="0.2">
      <c r="A496" s="7" t="s">
        <v>73</v>
      </c>
      <c r="B496" s="3" t="s">
        <v>211</v>
      </c>
      <c r="C496" s="3" t="s">
        <v>72</v>
      </c>
      <c r="D496" s="3" t="s">
        <v>59</v>
      </c>
      <c r="E496" s="3" t="s">
        <v>642</v>
      </c>
      <c r="F496" s="3" t="s">
        <v>80</v>
      </c>
      <c r="G496" s="60"/>
      <c r="H496" s="60">
        <f>24.94+10.2+14.6</f>
        <v>49.74</v>
      </c>
      <c r="I496" s="60">
        <f t="shared" si="245"/>
        <v>49.74</v>
      </c>
      <c r="J496" s="100"/>
    </row>
    <row r="497" spans="1:10" s="31" customFormat="1" ht="24" x14ac:dyDescent="0.2">
      <c r="A497" s="7" t="s">
        <v>545</v>
      </c>
      <c r="B497" s="3" t="s">
        <v>211</v>
      </c>
      <c r="C497" s="3" t="s">
        <v>72</v>
      </c>
      <c r="D497" s="3" t="s">
        <v>59</v>
      </c>
      <c r="E497" s="3" t="s">
        <v>644</v>
      </c>
      <c r="F497" s="3"/>
      <c r="G497" s="60">
        <f>G498</f>
        <v>0</v>
      </c>
      <c r="H497" s="60">
        <f>H498</f>
        <v>442.20755000000003</v>
      </c>
      <c r="I497" s="60">
        <f t="shared" si="245"/>
        <v>442.20755000000003</v>
      </c>
      <c r="J497" s="100"/>
    </row>
    <row r="498" spans="1:10" s="31" customFormat="1" ht="60" x14ac:dyDescent="0.2">
      <c r="A498" s="4" t="s">
        <v>38</v>
      </c>
      <c r="B498" s="3" t="s">
        <v>211</v>
      </c>
      <c r="C498" s="3" t="s">
        <v>72</v>
      </c>
      <c r="D498" s="3" t="s">
        <v>59</v>
      </c>
      <c r="E498" s="3" t="s">
        <v>644</v>
      </c>
      <c r="F498" s="3" t="s">
        <v>34</v>
      </c>
      <c r="G498" s="60"/>
      <c r="H498" s="60">
        <f>56.847+17.168+282.79+85.40255</f>
        <v>442.20755000000003</v>
      </c>
      <c r="I498" s="60">
        <f t="shared" si="245"/>
        <v>442.20755000000003</v>
      </c>
      <c r="J498" s="100"/>
    </row>
    <row r="499" spans="1:10" s="31" customFormat="1" ht="36" x14ac:dyDescent="0.2">
      <c r="A499" s="4" t="s">
        <v>40</v>
      </c>
      <c r="B499" s="3" t="s">
        <v>211</v>
      </c>
      <c r="C499" s="3" t="s">
        <v>72</v>
      </c>
      <c r="D499" s="3" t="s">
        <v>59</v>
      </c>
      <c r="E499" s="3" t="s">
        <v>308</v>
      </c>
      <c r="F499" s="3"/>
      <c r="G499" s="269">
        <f>G500+G504</f>
        <v>2211.3739999999998</v>
      </c>
      <c r="H499" s="269">
        <f t="shared" ref="H499:I499" si="246">H500+H504</f>
        <v>-2211.3739999999998</v>
      </c>
      <c r="I499" s="269">
        <f t="shared" si="246"/>
        <v>0</v>
      </c>
      <c r="J499" s="100"/>
    </row>
    <row r="500" spans="1:10" s="31" customFormat="1" ht="60" x14ac:dyDescent="0.2">
      <c r="A500" s="7" t="s">
        <v>321</v>
      </c>
      <c r="B500" s="3" t="s">
        <v>211</v>
      </c>
      <c r="C500" s="3" t="s">
        <v>72</v>
      </c>
      <c r="D500" s="3" t="s">
        <v>59</v>
      </c>
      <c r="E500" s="3" t="s">
        <v>35</v>
      </c>
      <c r="F500" s="3"/>
      <c r="G500" s="267">
        <f>G501+G502+G503</f>
        <v>2095.5139999999997</v>
      </c>
      <c r="H500" s="267">
        <f>H501+H502+H503</f>
        <v>-2095.5139999999997</v>
      </c>
      <c r="I500" s="267">
        <f>I501+I502+I503</f>
        <v>0</v>
      </c>
      <c r="J500" s="100"/>
    </row>
    <row r="501" spans="1:10" s="31" customFormat="1" ht="60" x14ac:dyDescent="0.2">
      <c r="A501" s="4" t="s">
        <v>38</v>
      </c>
      <c r="B501" s="3" t="s">
        <v>211</v>
      </c>
      <c r="C501" s="3" t="s">
        <v>72</v>
      </c>
      <c r="D501" s="3" t="s">
        <v>59</v>
      </c>
      <c r="E501" s="3" t="s">
        <v>35</v>
      </c>
      <c r="F501" s="3" t="s">
        <v>34</v>
      </c>
      <c r="G501" s="60">
        <f>566.598+171.112</f>
        <v>737.70999999999992</v>
      </c>
      <c r="H501" s="267">
        <f>-566.598-171.112</f>
        <v>-737.70999999999992</v>
      </c>
      <c r="I501" s="60">
        <f>G501+H501</f>
        <v>0</v>
      </c>
      <c r="J501" s="100"/>
    </row>
    <row r="502" spans="1:10" s="31" customFormat="1" ht="24" x14ac:dyDescent="0.2">
      <c r="A502" s="4" t="s">
        <v>47</v>
      </c>
      <c r="B502" s="3" t="s">
        <v>211</v>
      </c>
      <c r="C502" s="3" t="s">
        <v>72</v>
      </c>
      <c r="D502" s="3" t="s">
        <v>59</v>
      </c>
      <c r="E502" s="3" t="s">
        <v>35</v>
      </c>
      <c r="F502" s="3" t="s">
        <v>51</v>
      </c>
      <c r="G502" s="60">
        <v>1308.0640000000001</v>
      </c>
      <c r="H502" s="267">
        <f>-1308.064</f>
        <v>-1308.0640000000001</v>
      </c>
      <c r="I502" s="60">
        <f>G502+H502</f>
        <v>0</v>
      </c>
      <c r="J502" s="100"/>
    </row>
    <row r="503" spans="1:10" s="31" customFormat="1" ht="24" x14ac:dyDescent="0.2">
      <c r="A503" s="7" t="s">
        <v>73</v>
      </c>
      <c r="B503" s="3" t="s">
        <v>211</v>
      </c>
      <c r="C503" s="3" t="s">
        <v>72</v>
      </c>
      <c r="D503" s="3" t="s">
        <v>59</v>
      </c>
      <c r="E503" s="3" t="s">
        <v>35</v>
      </c>
      <c r="F503" s="3">
        <v>800</v>
      </c>
      <c r="G503" s="60">
        <f>24.94+10.2+14.6</f>
        <v>49.74</v>
      </c>
      <c r="H503" s="267">
        <f>-24.94-10.2-14.6</f>
        <v>-49.74</v>
      </c>
      <c r="I503" s="60">
        <f>G503+H503</f>
        <v>0</v>
      </c>
      <c r="J503" s="100"/>
    </row>
    <row r="504" spans="1:10" ht="24" x14ac:dyDescent="0.2">
      <c r="A504" s="4" t="s">
        <v>545</v>
      </c>
      <c r="B504" s="3" t="s">
        <v>211</v>
      </c>
      <c r="C504" s="3" t="s">
        <v>72</v>
      </c>
      <c r="D504" s="3" t="s">
        <v>59</v>
      </c>
      <c r="E504" s="3" t="s">
        <v>544</v>
      </c>
      <c r="F504" s="3"/>
      <c r="G504" s="263">
        <f t="shared" ref="G504:I504" si="247">G505</f>
        <v>115.86</v>
      </c>
      <c r="H504" s="263">
        <f t="shared" si="247"/>
        <v>-115.86</v>
      </c>
      <c r="I504" s="263">
        <f t="shared" si="247"/>
        <v>0</v>
      </c>
      <c r="J504" s="98"/>
    </row>
    <row r="505" spans="1:10" ht="60" x14ac:dyDescent="0.2">
      <c r="A505" s="4" t="s">
        <v>38</v>
      </c>
      <c r="B505" s="3" t="s">
        <v>211</v>
      </c>
      <c r="C505" s="3" t="s">
        <v>72</v>
      </c>
      <c r="D505" s="3" t="s">
        <v>59</v>
      </c>
      <c r="E505" s="3" t="s">
        <v>544</v>
      </c>
      <c r="F505" s="3" t="s">
        <v>34</v>
      </c>
      <c r="G505" s="60">
        <f>88.986+26.874</f>
        <v>115.86</v>
      </c>
      <c r="H505" s="263">
        <f>-88.986-26.874</f>
        <v>-115.86</v>
      </c>
      <c r="I505" s="60">
        <f>G505+H505</f>
        <v>0</v>
      </c>
      <c r="J505" s="98"/>
    </row>
    <row r="506" spans="1:10" s="31" customFormat="1" ht="12.75" x14ac:dyDescent="0.2">
      <c r="A506" s="4" t="s">
        <v>66</v>
      </c>
      <c r="B506" s="3" t="s">
        <v>211</v>
      </c>
      <c r="C506" s="3" t="s">
        <v>54</v>
      </c>
      <c r="D506" s="3" t="s">
        <v>19</v>
      </c>
      <c r="E506" s="3"/>
      <c r="F506" s="3"/>
      <c r="G506" s="60">
        <f>G507</f>
        <v>60</v>
      </c>
      <c r="H506" s="60">
        <f t="shared" ref="G506:I510" si="248">H507</f>
        <v>59.8</v>
      </c>
      <c r="I506" s="60">
        <f t="shared" si="248"/>
        <v>119.8</v>
      </c>
      <c r="J506" s="100"/>
    </row>
    <row r="507" spans="1:10" s="31" customFormat="1" ht="12.75" x14ac:dyDescent="0.2">
      <c r="A507" s="4" t="s">
        <v>58</v>
      </c>
      <c r="B507" s="3" t="s">
        <v>211</v>
      </c>
      <c r="C507" s="3" t="s">
        <v>54</v>
      </c>
      <c r="D507" s="3" t="s">
        <v>53</v>
      </c>
      <c r="E507" s="3"/>
      <c r="F507" s="3"/>
      <c r="G507" s="60">
        <f t="shared" si="248"/>
        <v>60</v>
      </c>
      <c r="H507" s="60">
        <f t="shared" si="248"/>
        <v>59.8</v>
      </c>
      <c r="I507" s="60">
        <f t="shared" si="248"/>
        <v>119.8</v>
      </c>
      <c r="J507" s="100"/>
    </row>
    <row r="508" spans="1:10" s="31" customFormat="1" ht="60" x14ac:dyDescent="0.2">
      <c r="A508" s="4" t="s">
        <v>303</v>
      </c>
      <c r="B508" s="3" t="s">
        <v>211</v>
      </c>
      <c r="C508" s="3" t="s">
        <v>54</v>
      </c>
      <c r="D508" s="3" t="s">
        <v>53</v>
      </c>
      <c r="E508" s="3" t="s">
        <v>57</v>
      </c>
      <c r="F508" s="3"/>
      <c r="G508" s="60">
        <f t="shared" si="248"/>
        <v>60</v>
      </c>
      <c r="H508" s="60">
        <f t="shared" si="248"/>
        <v>59.8</v>
      </c>
      <c r="I508" s="60">
        <f t="shared" si="248"/>
        <v>119.8</v>
      </c>
      <c r="J508" s="100"/>
    </row>
    <row r="509" spans="1:10" s="31" customFormat="1" ht="36" x14ac:dyDescent="0.2">
      <c r="A509" s="4" t="s">
        <v>55</v>
      </c>
      <c r="B509" s="3" t="s">
        <v>211</v>
      </c>
      <c r="C509" s="3" t="s">
        <v>54</v>
      </c>
      <c r="D509" s="3" t="s">
        <v>53</v>
      </c>
      <c r="E509" s="3" t="s">
        <v>264</v>
      </c>
      <c r="F509" s="3"/>
      <c r="G509" s="60">
        <f t="shared" si="248"/>
        <v>60</v>
      </c>
      <c r="H509" s="60">
        <f t="shared" si="248"/>
        <v>59.8</v>
      </c>
      <c r="I509" s="60">
        <f t="shared" si="248"/>
        <v>119.8</v>
      </c>
      <c r="J509" s="100"/>
    </row>
    <row r="510" spans="1:10" s="31" customFormat="1" ht="36" x14ac:dyDescent="0.2">
      <c r="A510" s="4" t="s">
        <v>322</v>
      </c>
      <c r="B510" s="3" t="s">
        <v>211</v>
      </c>
      <c r="C510" s="3" t="s">
        <v>54</v>
      </c>
      <c r="D510" s="3" t="s">
        <v>53</v>
      </c>
      <c r="E510" s="3" t="s">
        <v>52</v>
      </c>
      <c r="F510" s="3"/>
      <c r="G510" s="60">
        <f t="shared" si="248"/>
        <v>60</v>
      </c>
      <c r="H510" s="60">
        <f t="shared" si="248"/>
        <v>59.8</v>
      </c>
      <c r="I510" s="60">
        <f t="shared" si="248"/>
        <v>119.8</v>
      </c>
      <c r="J510" s="100"/>
    </row>
    <row r="511" spans="1:10" s="31" customFormat="1" ht="24" x14ac:dyDescent="0.2">
      <c r="A511" s="4" t="s">
        <v>47</v>
      </c>
      <c r="B511" s="3" t="s">
        <v>211</v>
      </c>
      <c r="C511" s="3" t="s">
        <v>54</v>
      </c>
      <c r="D511" s="3" t="s">
        <v>53</v>
      </c>
      <c r="E511" s="3" t="s">
        <v>52</v>
      </c>
      <c r="F511" s="3" t="s">
        <v>51</v>
      </c>
      <c r="G511" s="60">
        <v>60</v>
      </c>
      <c r="H511" s="60">
        <f>59.8</f>
        <v>59.8</v>
      </c>
      <c r="I511" s="60">
        <f>G511+H511</f>
        <v>119.8</v>
      </c>
      <c r="J511" s="100"/>
    </row>
    <row r="512" spans="1:10" s="31" customFormat="1" ht="12.75" x14ac:dyDescent="0.2">
      <c r="A512" s="4" t="s">
        <v>50</v>
      </c>
      <c r="B512" s="3" t="s">
        <v>211</v>
      </c>
      <c r="C512" s="3" t="s">
        <v>37</v>
      </c>
      <c r="D512" s="3"/>
      <c r="E512" s="3"/>
      <c r="F512" s="3"/>
      <c r="G512" s="60">
        <f>G513</f>
        <v>230</v>
      </c>
      <c r="H512" s="60">
        <f t="shared" ref="H512:I513" si="249">H513</f>
        <v>464</v>
      </c>
      <c r="I512" s="60">
        <f t="shared" si="249"/>
        <v>694</v>
      </c>
      <c r="J512" s="100"/>
    </row>
    <row r="513" spans="1:10" s="31" customFormat="1" ht="12.75" x14ac:dyDescent="0.2">
      <c r="A513" s="4" t="s">
        <v>49</v>
      </c>
      <c r="B513" s="3" t="s">
        <v>211</v>
      </c>
      <c r="C513" s="3" t="s">
        <v>37</v>
      </c>
      <c r="D513" s="3" t="s">
        <v>15</v>
      </c>
      <c r="E513" s="3"/>
      <c r="F513" s="3"/>
      <c r="G513" s="60">
        <f>G514</f>
        <v>230</v>
      </c>
      <c r="H513" s="60">
        <f t="shared" si="249"/>
        <v>464</v>
      </c>
      <c r="I513" s="60">
        <f t="shared" si="249"/>
        <v>694</v>
      </c>
      <c r="J513" s="100"/>
    </row>
    <row r="514" spans="1:10" s="31" customFormat="1" ht="48" x14ac:dyDescent="0.2">
      <c r="A514" s="4" t="s">
        <v>431</v>
      </c>
      <c r="B514" s="3" t="s">
        <v>211</v>
      </c>
      <c r="C514" s="3" t="s">
        <v>37</v>
      </c>
      <c r="D514" s="3" t="s">
        <v>15</v>
      </c>
      <c r="E514" s="3" t="s">
        <v>471</v>
      </c>
      <c r="F514" s="3"/>
      <c r="G514" s="265">
        <f t="shared" ref="G514:I515" si="250">G515</f>
        <v>230</v>
      </c>
      <c r="H514" s="265">
        <f t="shared" si="250"/>
        <v>464</v>
      </c>
      <c r="I514" s="265">
        <f t="shared" si="250"/>
        <v>694</v>
      </c>
      <c r="J514" s="100"/>
    </row>
    <row r="515" spans="1:10" s="31" customFormat="1" ht="48" x14ac:dyDescent="0.2">
      <c r="A515" s="7" t="s">
        <v>48</v>
      </c>
      <c r="B515" s="3" t="s">
        <v>211</v>
      </c>
      <c r="C515" s="3" t="s">
        <v>37</v>
      </c>
      <c r="D515" s="3" t="s">
        <v>15</v>
      </c>
      <c r="E515" s="3" t="s">
        <v>474</v>
      </c>
      <c r="F515" s="3"/>
      <c r="G515" s="265">
        <f>G516</f>
        <v>230</v>
      </c>
      <c r="H515" s="265">
        <f t="shared" si="250"/>
        <v>464</v>
      </c>
      <c r="I515" s="265">
        <f t="shared" si="250"/>
        <v>694</v>
      </c>
      <c r="J515" s="100"/>
    </row>
    <row r="516" spans="1:10" s="31" customFormat="1" ht="12.75" x14ac:dyDescent="0.2">
      <c r="A516" s="4" t="s">
        <v>323</v>
      </c>
      <c r="B516" s="3" t="s">
        <v>211</v>
      </c>
      <c r="C516" s="3" t="s">
        <v>37</v>
      </c>
      <c r="D516" s="3" t="s">
        <v>15</v>
      </c>
      <c r="E516" s="3" t="s">
        <v>475</v>
      </c>
      <c r="F516" s="3"/>
      <c r="G516" s="265">
        <f>G517+G518</f>
        <v>230</v>
      </c>
      <c r="H516" s="265">
        <f t="shared" ref="H516:I516" si="251">H517+H518</f>
        <v>464</v>
      </c>
      <c r="I516" s="265">
        <f t="shared" si="251"/>
        <v>694</v>
      </c>
      <c r="J516" s="100"/>
    </row>
    <row r="517" spans="1:10" s="31" customFormat="1" ht="60" x14ac:dyDescent="0.2">
      <c r="A517" s="4" t="s">
        <v>38</v>
      </c>
      <c r="B517" s="3" t="s">
        <v>211</v>
      </c>
      <c r="C517" s="3" t="s">
        <v>37</v>
      </c>
      <c r="D517" s="3" t="s">
        <v>15</v>
      </c>
      <c r="E517" s="3" t="s">
        <v>475</v>
      </c>
      <c r="F517" s="3">
        <v>100</v>
      </c>
      <c r="G517" s="60">
        <v>30</v>
      </c>
      <c r="H517" s="265">
        <f>91.2+29</f>
        <v>120.2</v>
      </c>
      <c r="I517" s="60">
        <f>G517+H517</f>
        <v>150.19999999999999</v>
      </c>
      <c r="J517" s="100"/>
    </row>
    <row r="518" spans="1:10" s="31" customFormat="1" ht="24" x14ac:dyDescent="0.2">
      <c r="A518" s="4" t="s">
        <v>47</v>
      </c>
      <c r="B518" s="3" t="s">
        <v>211</v>
      </c>
      <c r="C518" s="3" t="s">
        <v>37</v>
      </c>
      <c r="D518" s="3" t="s">
        <v>15</v>
      </c>
      <c r="E518" s="3" t="s">
        <v>475</v>
      </c>
      <c r="F518" s="3">
        <v>200</v>
      </c>
      <c r="G518" s="60">
        <v>200</v>
      </c>
      <c r="H518" s="265">
        <f>464-120.2</f>
        <v>343.8</v>
      </c>
      <c r="I518" s="60">
        <f>G518+H518</f>
        <v>543.79999999999995</v>
      </c>
      <c r="J518" s="100"/>
    </row>
    <row r="519" spans="1:10" s="31" customFormat="1" ht="12.75" x14ac:dyDescent="0.2">
      <c r="A519" s="35" t="s">
        <v>210</v>
      </c>
      <c r="B519" s="5"/>
      <c r="C519" s="5"/>
      <c r="D519" s="5"/>
      <c r="E519" s="5"/>
      <c r="F519" s="5"/>
      <c r="G519" s="59">
        <f>G8+G102+G199+G444</f>
        <v>667958.8979499999</v>
      </c>
      <c r="H519" s="59">
        <f>H8+H102+H199+H444</f>
        <v>32547.12833000001</v>
      </c>
      <c r="I519" s="59">
        <f>I8+I102+I199+I444</f>
        <v>700506.02628000011</v>
      </c>
      <c r="J519" s="293">
        <f>688241.36917+12264.65711</f>
        <v>700506.02627999999</v>
      </c>
    </row>
    <row r="520" spans="1:10" s="31" customFormat="1" ht="12.75" x14ac:dyDescent="0.2">
      <c r="A520" s="29"/>
      <c r="B520" s="28"/>
      <c r="C520" s="28"/>
      <c r="D520" s="28"/>
      <c r="E520" s="28"/>
      <c r="F520" s="28"/>
      <c r="G520" s="31">
        <v>667958.89795000001</v>
      </c>
      <c r="H520" s="61">
        <v>32547.12833</v>
      </c>
      <c r="I520" s="61">
        <f>G520+H520</f>
        <v>700506.02627999999</v>
      </c>
      <c r="J520" s="100">
        <f>J519-I519</f>
        <v>0</v>
      </c>
    </row>
    <row r="521" spans="1:10" s="31" customFormat="1" ht="12.75" x14ac:dyDescent="0.2">
      <c r="A521" s="29"/>
      <c r="B521" s="34"/>
      <c r="C521" s="34"/>
      <c r="D521" s="34"/>
      <c r="E521" s="34"/>
      <c r="F521" s="34"/>
      <c r="G521" s="61">
        <f t="shared" ref="G521:I521" si="252">G519-G520</f>
        <v>0</v>
      </c>
      <c r="H521" s="61">
        <f t="shared" si="252"/>
        <v>0</v>
      </c>
      <c r="I521" s="61">
        <f t="shared" si="252"/>
        <v>0</v>
      </c>
      <c r="J521" s="100"/>
    </row>
    <row r="522" spans="1:10" s="31" customFormat="1" ht="12.75" x14ac:dyDescent="0.2">
      <c r="A522" s="29"/>
      <c r="B522" s="30"/>
      <c r="C522" s="21"/>
      <c r="D522" s="20"/>
      <c r="E522" s="306" t="s">
        <v>206</v>
      </c>
      <c r="F522" s="340"/>
      <c r="G522" s="60">
        <f>G103+G200</f>
        <v>31002.453109999999</v>
      </c>
      <c r="H522" s="60">
        <f>H103+H200</f>
        <v>-3308.5062499999995</v>
      </c>
      <c r="I522" s="60">
        <f>I103+I200</f>
        <v>27693.946859999996</v>
      </c>
      <c r="J522" s="100"/>
    </row>
    <row r="523" spans="1:10" s="31" customFormat="1" ht="12.75" x14ac:dyDescent="0.2">
      <c r="A523" s="29"/>
      <c r="B523" s="30"/>
      <c r="C523" s="21" t="s">
        <v>15</v>
      </c>
      <c r="D523" s="20" t="s">
        <v>27</v>
      </c>
      <c r="E523" s="21" t="s">
        <v>15</v>
      </c>
      <c r="F523" s="20" t="s">
        <v>27</v>
      </c>
      <c r="G523" s="60">
        <f>G201</f>
        <v>1457.55</v>
      </c>
      <c r="H523" s="60">
        <f>H201</f>
        <v>522.52350999999999</v>
      </c>
      <c r="I523" s="60">
        <f>I201</f>
        <v>1980.0735099999999</v>
      </c>
      <c r="J523" s="100"/>
    </row>
    <row r="524" spans="1:10" s="31" customFormat="1" ht="12.75" x14ac:dyDescent="0.2">
      <c r="A524" s="29"/>
      <c r="B524" s="33"/>
      <c r="C524" s="21" t="s">
        <v>15</v>
      </c>
      <c r="D524" s="20" t="s">
        <v>6</v>
      </c>
      <c r="E524" s="21" t="s">
        <v>15</v>
      </c>
      <c r="F524" s="20" t="s">
        <v>6</v>
      </c>
      <c r="G524" s="60">
        <f>G204</f>
        <v>1903.8400000000001</v>
      </c>
      <c r="H524" s="60">
        <f>H204</f>
        <v>106.62651</v>
      </c>
      <c r="I524" s="60">
        <f>I204</f>
        <v>2010.4665100000002</v>
      </c>
      <c r="J524" s="100"/>
    </row>
    <row r="525" spans="1:10" s="31" customFormat="1" ht="12.75" x14ac:dyDescent="0.2">
      <c r="A525" s="29"/>
      <c r="B525" s="32"/>
      <c r="C525" s="21" t="s">
        <v>15</v>
      </c>
      <c r="D525" s="20" t="s">
        <v>59</v>
      </c>
      <c r="E525" s="21" t="s">
        <v>15</v>
      </c>
      <c r="F525" s="20" t="s">
        <v>59</v>
      </c>
      <c r="G525" s="60">
        <f>G210</f>
        <v>12932.85787</v>
      </c>
      <c r="H525" s="60">
        <f t="shared" ref="H525:I525" si="253">H210</f>
        <v>2490.2507900000001</v>
      </c>
      <c r="I525" s="60">
        <f t="shared" si="253"/>
        <v>15423.10866</v>
      </c>
      <c r="J525" s="100"/>
    </row>
    <row r="526" spans="1:10" s="31" customFormat="1" ht="12.75" x14ac:dyDescent="0.2">
      <c r="A526" s="29"/>
      <c r="B526" s="32"/>
      <c r="C526" s="21" t="s">
        <v>15</v>
      </c>
      <c r="D526" s="20" t="s">
        <v>36</v>
      </c>
      <c r="E526" s="21" t="s">
        <v>15</v>
      </c>
      <c r="F526" s="20" t="s">
        <v>36</v>
      </c>
      <c r="G526" s="60">
        <f>G229</f>
        <v>9.6</v>
      </c>
      <c r="H526" s="60">
        <f>H229</f>
        <v>0</v>
      </c>
      <c r="I526" s="60">
        <f>I229</f>
        <v>9.6</v>
      </c>
      <c r="J526" s="100"/>
    </row>
    <row r="527" spans="1:10" s="31" customFormat="1" ht="12.75" x14ac:dyDescent="0.2">
      <c r="A527" s="29"/>
      <c r="B527" s="32"/>
      <c r="C527" s="21" t="s">
        <v>15</v>
      </c>
      <c r="D527" s="20" t="s">
        <v>53</v>
      </c>
      <c r="E527" s="21" t="s">
        <v>15</v>
      </c>
      <c r="F527" s="20" t="s">
        <v>53</v>
      </c>
      <c r="G527" s="60">
        <f>G104+G234</f>
        <v>4953.5929999999998</v>
      </c>
      <c r="H527" s="60">
        <f>H104+H234</f>
        <v>828.01093999999989</v>
      </c>
      <c r="I527" s="60">
        <f>I104+I234</f>
        <v>5781.60394</v>
      </c>
      <c r="J527" s="100"/>
    </row>
    <row r="528" spans="1:10" s="31" customFormat="1" ht="12.75" x14ac:dyDescent="0.2">
      <c r="A528" s="29"/>
      <c r="B528" s="32"/>
      <c r="C528" s="21" t="s">
        <v>15</v>
      </c>
      <c r="D528" s="20" t="s">
        <v>79</v>
      </c>
      <c r="E528" s="21" t="s">
        <v>15</v>
      </c>
      <c r="F528" s="20" t="s">
        <v>79</v>
      </c>
      <c r="G528" s="60"/>
      <c r="H528" s="60"/>
      <c r="I528" s="60"/>
      <c r="J528" s="100"/>
    </row>
    <row r="529" spans="1:10" s="31" customFormat="1" ht="12.75" x14ac:dyDescent="0.2">
      <c r="A529" s="29"/>
      <c r="B529" s="32"/>
      <c r="C529" s="21" t="s">
        <v>15</v>
      </c>
      <c r="D529" s="20" t="s">
        <v>37</v>
      </c>
      <c r="E529" s="21" t="s">
        <v>15</v>
      </c>
      <c r="F529" s="20" t="s">
        <v>37</v>
      </c>
      <c r="G529" s="60">
        <f>G118</f>
        <v>8597</v>
      </c>
      <c r="H529" s="60">
        <f>H118</f>
        <v>-7255.9179999999997</v>
      </c>
      <c r="I529" s="60">
        <f>I118</f>
        <v>1341.0819999999999</v>
      </c>
      <c r="J529" s="100"/>
    </row>
    <row r="530" spans="1:10" s="31" customFormat="1" ht="12.75" x14ac:dyDescent="0.2">
      <c r="A530" s="29"/>
      <c r="B530" s="30"/>
      <c r="C530" s="21" t="s">
        <v>15</v>
      </c>
      <c r="D530" s="20" t="s">
        <v>24</v>
      </c>
      <c r="E530" s="21" t="s">
        <v>15</v>
      </c>
      <c r="F530" s="20" t="s">
        <v>24</v>
      </c>
      <c r="G530" s="60">
        <f>G238</f>
        <v>1148.01224</v>
      </c>
      <c r="H530" s="60">
        <f>H238</f>
        <v>0</v>
      </c>
      <c r="I530" s="60">
        <f>I238</f>
        <v>1148.01224</v>
      </c>
      <c r="J530" s="100"/>
    </row>
    <row r="531" spans="1:10" s="31" customFormat="1" ht="12.75" x14ac:dyDescent="0.2">
      <c r="A531" s="29"/>
      <c r="B531" s="30"/>
      <c r="C531" s="318" t="s">
        <v>200</v>
      </c>
      <c r="D531" s="339"/>
      <c r="E531" s="318" t="s">
        <v>200</v>
      </c>
      <c r="F531" s="339"/>
      <c r="G531" s="60"/>
      <c r="H531" s="60"/>
      <c r="I531" s="60"/>
      <c r="J531" s="100"/>
    </row>
    <row r="532" spans="1:10" s="31" customFormat="1" ht="12.75" x14ac:dyDescent="0.2">
      <c r="A532" s="29"/>
      <c r="B532" s="30"/>
      <c r="C532" s="21" t="s">
        <v>27</v>
      </c>
      <c r="D532" s="20" t="s">
        <v>6</v>
      </c>
      <c r="E532" s="21" t="s">
        <v>27</v>
      </c>
      <c r="F532" s="20" t="s">
        <v>6</v>
      </c>
      <c r="G532" s="60"/>
      <c r="H532" s="60"/>
      <c r="I532" s="60"/>
      <c r="J532" s="100"/>
    </row>
    <row r="533" spans="1:10" s="31" customFormat="1" ht="12.75" x14ac:dyDescent="0.2">
      <c r="A533" s="29"/>
      <c r="B533" s="30"/>
      <c r="C533" s="318" t="s">
        <v>198</v>
      </c>
      <c r="D533" s="339"/>
      <c r="E533" s="318" t="s">
        <v>198</v>
      </c>
      <c r="F533" s="339"/>
      <c r="G533" s="60">
        <f>SUM(G534:G537)</f>
        <v>6232.0790999999999</v>
      </c>
      <c r="H533" s="60">
        <f t="shared" ref="H533:I533" si="254">SUM(H534:H537)</f>
        <v>1359.1909999999998</v>
      </c>
      <c r="I533" s="60">
        <f t="shared" si="254"/>
        <v>7591.2701000000006</v>
      </c>
      <c r="J533" s="100"/>
    </row>
    <row r="534" spans="1:10" s="31" customFormat="1" ht="12.75" x14ac:dyDescent="0.2">
      <c r="A534" s="29"/>
      <c r="B534" s="30"/>
      <c r="C534" s="21" t="s">
        <v>6</v>
      </c>
      <c r="D534" s="20" t="s">
        <v>27</v>
      </c>
      <c r="E534" s="21" t="s">
        <v>6</v>
      </c>
      <c r="F534" s="20" t="s">
        <v>27</v>
      </c>
      <c r="G534" s="60"/>
      <c r="H534" s="60"/>
      <c r="I534" s="60"/>
      <c r="J534" s="100"/>
    </row>
    <row r="535" spans="1:10" s="31" customFormat="1" ht="12.75" x14ac:dyDescent="0.2">
      <c r="A535" s="29"/>
      <c r="B535" s="30"/>
      <c r="C535" s="21" t="s">
        <v>6</v>
      </c>
      <c r="D535" s="20" t="s">
        <v>67</v>
      </c>
      <c r="E535" s="21" t="s">
        <v>6</v>
      </c>
      <c r="F535" s="20" t="s">
        <v>67</v>
      </c>
      <c r="G535" s="60">
        <f>G263+G132</f>
        <v>5482.7933800000001</v>
      </c>
      <c r="H535" s="60">
        <f>H263+H132</f>
        <v>1197.4879999999998</v>
      </c>
      <c r="I535" s="60">
        <f>I263+I132</f>
        <v>6680.2813800000004</v>
      </c>
      <c r="J535" s="100"/>
    </row>
    <row r="536" spans="1:10" s="31" customFormat="1" ht="12.75" x14ac:dyDescent="0.2">
      <c r="A536" s="29"/>
      <c r="B536" s="30"/>
      <c r="C536" s="21"/>
      <c r="D536" s="20"/>
      <c r="E536" s="21" t="s">
        <v>6</v>
      </c>
      <c r="F536" s="20" t="s">
        <v>54</v>
      </c>
      <c r="G536" s="60">
        <f>G139</f>
        <v>703.57142999999996</v>
      </c>
      <c r="H536" s="60">
        <f t="shared" ref="H536:I536" si="255">H139</f>
        <v>177.10300000000001</v>
      </c>
      <c r="I536" s="60">
        <f t="shared" si="255"/>
        <v>880.67443000000003</v>
      </c>
      <c r="J536" s="100"/>
    </row>
    <row r="537" spans="1:10" ht="12.75" x14ac:dyDescent="0.2">
      <c r="A537" s="28"/>
      <c r="B537" s="30"/>
      <c r="C537" s="21" t="s">
        <v>6</v>
      </c>
      <c r="D537" s="20" t="s">
        <v>7</v>
      </c>
      <c r="E537" s="21" t="s">
        <v>6</v>
      </c>
      <c r="F537" s="20" t="s">
        <v>7</v>
      </c>
      <c r="G537" s="60">
        <f>G278</f>
        <v>45.714289999999998</v>
      </c>
      <c r="H537" s="60">
        <f>H278</f>
        <v>-15.4</v>
      </c>
      <c r="I537" s="60">
        <f>I278</f>
        <v>30.31429</v>
      </c>
      <c r="J537" s="98"/>
    </row>
    <row r="538" spans="1:10" x14ac:dyDescent="0.25">
      <c r="A538" s="28"/>
      <c r="B538" s="30"/>
      <c r="C538" s="318" t="s">
        <v>195</v>
      </c>
      <c r="D538" s="339"/>
      <c r="E538" s="318" t="s">
        <v>195</v>
      </c>
      <c r="F538" s="339"/>
      <c r="G538" s="271">
        <f>SUM(G539:G542)</f>
        <v>25001.577510000003</v>
      </c>
      <c r="H538" s="271">
        <f t="shared" ref="H538:I538" si="256">SUM(H539:H542)</f>
        <v>3808.1800899999998</v>
      </c>
      <c r="I538" s="271">
        <f t="shared" si="256"/>
        <v>28809.757599999997</v>
      </c>
      <c r="J538" s="98"/>
    </row>
    <row r="539" spans="1:10" x14ac:dyDescent="0.25">
      <c r="A539" s="28"/>
      <c r="B539" s="30"/>
      <c r="C539" s="21" t="s">
        <v>59</v>
      </c>
      <c r="D539" s="20" t="s">
        <v>15</v>
      </c>
      <c r="E539" s="21" t="s">
        <v>59</v>
      </c>
      <c r="F539" s="20" t="s">
        <v>15</v>
      </c>
      <c r="G539" s="271"/>
      <c r="H539" s="271"/>
      <c r="I539" s="271"/>
      <c r="J539" s="98"/>
    </row>
    <row r="540" spans="1:10" x14ac:dyDescent="0.25">
      <c r="A540" s="28"/>
      <c r="B540" s="30"/>
      <c r="C540" s="21" t="s">
        <v>59</v>
      </c>
      <c r="D540" s="20" t="s">
        <v>36</v>
      </c>
      <c r="E540" s="21" t="s">
        <v>59</v>
      </c>
      <c r="F540" s="20" t="s">
        <v>36</v>
      </c>
      <c r="G540" s="271">
        <f>G289</f>
        <v>1040.3</v>
      </c>
      <c r="H540" s="271">
        <f>H289</f>
        <v>0</v>
      </c>
      <c r="I540" s="271">
        <f>I289</f>
        <v>1040.3</v>
      </c>
      <c r="J540" s="98"/>
    </row>
    <row r="541" spans="1:10" x14ac:dyDescent="0.25">
      <c r="A541" s="28"/>
      <c r="B541" s="30"/>
      <c r="C541" s="21" t="s">
        <v>59</v>
      </c>
      <c r="D541" s="20" t="s">
        <v>67</v>
      </c>
      <c r="E541" s="21" t="s">
        <v>59</v>
      </c>
      <c r="F541" s="20" t="s">
        <v>67</v>
      </c>
      <c r="G541" s="271">
        <f>G299+G149</f>
        <v>5551.8</v>
      </c>
      <c r="H541" s="271">
        <f>H299+H149</f>
        <v>50</v>
      </c>
      <c r="I541" s="271">
        <f>I299+I149</f>
        <v>5601.8</v>
      </c>
      <c r="J541" s="98"/>
    </row>
    <row r="542" spans="1:10" x14ac:dyDescent="0.25">
      <c r="A542" s="28"/>
      <c r="B542" s="30"/>
      <c r="C542" s="21" t="s">
        <v>59</v>
      </c>
      <c r="D542" s="20" t="s">
        <v>28</v>
      </c>
      <c r="E542" s="21" t="s">
        <v>59</v>
      </c>
      <c r="F542" s="20" t="s">
        <v>28</v>
      </c>
      <c r="G542" s="271">
        <f>G306+G156</f>
        <v>18409.477510000001</v>
      </c>
      <c r="H542" s="271">
        <f>H306+H156</f>
        <v>3758.1800899999998</v>
      </c>
      <c r="I542" s="271">
        <f>I306+I156</f>
        <v>22167.657599999999</v>
      </c>
      <c r="J542" s="98"/>
    </row>
    <row r="543" spans="1:10" ht="12.75" x14ac:dyDescent="0.2">
      <c r="A543" s="28"/>
      <c r="B543" s="30"/>
      <c r="C543" s="318" t="s">
        <v>190</v>
      </c>
      <c r="D543" s="339"/>
      <c r="E543" s="318" t="s">
        <v>190</v>
      </c>
      <c r="F543" s="339"/>
      <c r="G543" s="60">
        <f>G332++G161</f>
        <v>20149.076359999999</v>
      </c>
      <c r="H543" s="60">
        <f>H332++H161</f>
        <v>1284.5999999999999</v>
      </c>
      <c r="I543" s="60">
        <f>I332++I161</f>
        <v>21433.676359999998</v>
      </c>
      <c r="J543" s="98"/>
    </row>
    <row r="544" spans="1:10" ht="12.75" x14ac:dyDescent="0.2">
      <c r="A544" s="28"/>
      <c r="B544" s="30"/>
      <c r="C544" s="21" t="s">
        <v>36</v>
      </c>
      <c r="D544" s="20" t="s">
        <v>15</v>
      </c>
      <c r="E544" s="21" t="s">
        <v>36</v>
      </c>
      <c r="F544" s="20" t="s">
        <v>15</v>
      </c>
      <c r="G544" s="60">
        <f>G333</f>
        <v>11</v>
      </c>
      <c r="H544" s="60">
        <f>H333</f>
        <v>0</v>
      </c>
      <c r="I544" s="60">
        <f>I333</f>
        <v>11</v>
      </c>
      <c r="J544" s="98"/>
    </row>
    <row r="545" spans="1:10" ht="12.75" x14ac:dyDescent="0.2">
      <c r="A545" s="28"/>
      <c r="B545" s="30"/>
      <c r="C545" s="21" t="s">
        <v>36</v>
      </c>
      <c r="D545" s="20" t="s">
        <v>27</v>
      </c>
      <c r="E545" s="21" t="s">
        <v>36</v>
      </c>
      <c r="F545" s="20" t="s">
        <v>27</v>
      </c>
      <c r="G545" s="60">
        <f>G338+G162</f>
        <v>19460.256359999999</v>
      </c>
      <c r="H545" s="60">
        <f>H338+H162</f>
        <v>1284.5999999999999</v>
      </c>
      <c r="I545" s="60">
        <f>I338+I162</f>
        <v>20744.856359999998</v>
      </c>
      <c r="J545" s="98"/>
    </row>
    <row r="546" spans="1:10" ht="12.75" x14ac:dyDescent="0.2">
      <c r="A546" s="28"/>
      <c r="B546" s="30"/>
      <c r="C546" s="21" t="s">
        <v>36</v>
      </c>
      <c r="D546" s="20" t="s">
        <v>6</v>
      </c>
      <c r="E546" s="21" t="s">
        <v>36</v>
      </c>
      <c r="F546" s="20" t="s">
        <v>6</v>
      </c>
      <c r="G546" s="60">
        <f>G374+G167</f>
        <v>677.82</v>
      </c>
      <c r="H546" s="60">
        <f>H374+H167</f>
        <v>0</v>
      </c>
      <c r="I546" s="60">
        <f>I374+I167</f>
        <v>677.82</v>
      </c>
      <c r="J546" s="98"/>
    </row>
    <row r="547" spans="1:10" ht="12.75" x14ac:dyDescent="0.2">
      <c r="A547" s="28"/>
      <c r="B547" s="30"/>
      <c r="C547" s="306" t="s">
        <v>187</v>
      </c>
      <c r="D547" s="340"/>
      <c r="E547" s="306" t="s">
        <v>187</v>
      </c>
      <c r="F547" s="340"/>
      <c r="G547" s="60"/>
      <c r="H547" s="60"/>
      <c r="I547" s="60"/>
      <c r="J547" s="98"/>
    </row>
    <row r="548" spans="1:10" ht="12.75" x14ac:dyDescent="0.2">
      <c r="A548" s="28"/>
      <c r="B548" s="30"/>
      <c r="C548" s="21" t="s">
        <v>53</v>
      </c>
      <c r="D548" s="20" t="s">
        <v>36</v>
      </c>
      <c r="E548" s="21" t="s">
        <v>53</v>
      </c>
      <c r="F548" s="20" t="s">
        <v>36</v>
      </c>
      <c r="G548" s="60"/>
      <c r="H548" s="60"/>
      <c r="I548" s="60"/>
      <c r="J548" s="98"/>
    </row>
    <row r="549" spans="1:10" ht="12.75" x14ac:dyDescent="0.2">
      <c r="A549" s="28"/>
      <c r="B549" s="30"/>
      <c r="C549" s="318" t="s">
        <v>184</v>
      </c>
      <c r="D549" s="339"/>
      <c r="E549" s="318" t="s">
        <v>184</v>
      </c>
      <c r="F549" s="339"/>
      <c r="G549" s="60">
        <f>SUM(G550:G555)</f>
        <v>481712.27944000007</v>
      </c>
      <c r="H549" s="60">
        <f t="shared" ref="H549:I549" si="257">SUM(H550:H555)</f>
        <v>27809.894470000007</v>
      </c>
      <c r="I549" s="60">
        <f t="shared" si="257"/>
        <v>509522.17391000007</v>
      </c>
      <c r="J549" s="98"/>
    </row>
    <row r="550" spans="1:10" ht="12.75" x14ac:dyDescent="0.2">
      <c r="A550" s="28"/>
      <c r="B550" s="30"/>
      <c r="C550" s="21" t="s">
        <v>79</v>
      </c>
      <c r="D550" s="20" t="s">
        <v>15</v>
      </c>
      <c r="E550" s="21" t="s">
        <v>79</v>
      </c>
      <c r="F550" s="20" t="s">
        <v>15</v>
      </c>
      <c r="G550" s="60">
        <f>G10+G380</f>
        <v>173117.03502000001</v>
      </c>
      <c r="H550" s="60">
        <f>H10+H380</f>
        <v>-1476.765459999991</v>
      </c>
      <c r="I550" s="60">
        <f>I10+I380</f>
        <v>171640.26956000002</v>
      </c>
      <c r="J550" s="98"/>
    </row>
    <row r="551" spans="1:10" ht="12.75" x14ac:dyDescent="0.2">
      <c r="A551" s="28"/>
      <c r="B551" s="30"/>
      <c r="C551" s="21" t="s">
        <v>79</v>
      </c>
      <c r="D551" s="20" t="s">
        <v>27</v>
      </c>
      <c r="E551" s="21" t="s">
        <v>79</v>
      </c>
      <c r="F551" s="20" t="s">
        <v>27</v>
      </c>
      <c r="G551" s="60">
        <f>G29+G390</f>
        <v>260992.27542000002</v>
      </c>
      <c r="H551" s="60">
        <f>H29+H390</f>
        <v>28979.951559999998</v>
      </c>
      <c r="I551" s="60">
        <f>I29+I390</f>
        <v>289972.22698000004</v>
      </c>
      <c r="J551" s="98"/>
    </row>
    <row r="552" spans="1:10" ht="12.75" x14ac:dyDescent="0.2">
      <c r="A552" s="28"/>
      <c r="B552" s="30"/>
      <c r="C552" s="21" t="s">
        <v>79</v>
      </c>
      <c r="D552" s="20" t="s">
        <v>6</v>
      </c>
      <c r="E552" s="21" t="s">
        <v>79</v>
      </c>
      <c r="F552" s="20" t="s">
        <v>6</v>
      </c>
      <c r="G552" s="60">
        <f>G54+G446</f>
        <v>30417.709000000003</v>
      </c>
      <c r="H552" s="60">
        <f>H54+H446</f>
        <v>-100.00316000000007</v>
      </c>
      <c r="I552" s="60">
        <f>I54+I446</f>
        <v>30317.705840000002</v>
      </c>
      <c r="J552" s="98"/>
    </row>
    <row r="553" spans="1:10" ht="12.75" x14ac:dyDescent="0.2">
      <c r="A553" s="28"/>
      <c r="B553" s="30"/>
      <c r="C553" s="21" t="s">
        <v>79</v>
      </c>
      <c r="D553" s="20" t="s">
        <v>36</v>
      </c>
      <c r="E553" s="21" t="s">
        <v>79</v>
      </c>
      <c r="F553" s="20" t="s">
        <v>36</v>
      </c>
      <c r="G553" s="60"/>
      <c r="H553" s="60"/>
      <c r="I553" s="60"/>
      <c r="J553" s="98"/>
    </row>
    <row r="554" spans="1:10" ht="12.75" x14ac:dyDescent="0.2">
      <c r="A554" s="28"/>
      <c r="B554" s="30"/>
      <c r="C554" s="21" t="s">
        <v>79</v>
      </c>
      <c r="D554" s="20" t="s">
        <v>79</v>
      </c>
      <c r="E554" s="21" t="s">
        <v>79</v>
      </c>
      <c r="F554" s="20" t="s">
        <v>79</v>
      </c>
      <c r="G554" s="60">
        <f>G63+G453</f>
        <v>1481.5</v>
      </c>
      <c r="H554" s="60">
        <f>H63+H453</f>
        <v>0</v>
      </c>
      <c r="I554" s="60">
        <f>I63+I453</f>
        <v>1481.5</v>
      </c>
      <c r="J554" s="98"/>
    </row>
    <row r="555" spans="1:10" ht="12.75" x14ac:dyDescent="0.2">
      <c r="A555" s="28"/>
      <c r="B555" s="30"/>
      <c r="C555" s="21" t="s">
        <v>79</v>
      </c>
      <c r="D555" s="20" t="s">
        <v>67</v>
      </c>
      <c r="E555" s="21" t="s">
        <v>79</v>
      </c>
      <c r="F555" s="20" t="s">
        <v>67</v>
      </c>
      <c r="G555" s="60">
        <f>G69</f>
        <v>15703.760000000002</v>
      </c>
      <c r="H555" s="60">
        <f>H69</f>
        <v>406.71152999999998</v>
      </c>
      <c r="I555" s="60">
        <f>I69</f>
        <v>16110.471529999999</v>
      </c>
      <c r="J555" s="98"/>
    </row>
    <row r="556" spans="1:10" ht="12.75" x14ac:dyDescent="0.2">
      <c r="A556" s="28"/>
      <c r="B556" s="30"/>
      <c r="C556" s="318" t="s">
        <v>181</v>
      </c>
      <c r="D556" s="339"/>
      <c r="E556" s="318" t="s">
        <v>181</v>
      </c>
      <c r="F556" s="339"/>
      <c r="G556" s="60">
        <f>G459+G397+G172</f>
        <v>54351.987939999999</v>
      </c>
      <c r="H556" s="60">
        <f>H459+H397+H172</f>
        <v>919.30869999999959</v>
      </c>
      <c r="I556" s="60">
        <f>I459+I397+I172</f>
        <v>55271.29664</v>
      </c>
      <c r="J556" s="98"/>
    </row>
    <row r="557" spans="1:10" ht="12.75" x14ac:dyDescent="0.2">
      <c r="A557" s="28"/>
      <c r="B557" s="30"/>
      <c r="C557" s="21" t="s">
        <v>72</v>
      </c>
      <c r="D557" s="20" t="s">
        <v>15</v>
      </c>
      <c r="E557" s="21" t="s">
        <v>72</v>
      </c>
      <c r="F557" s="20" t="s">
        <v>15</v>
      </c>
      <c r="G557" s="60">
        <f>G460+G398+G173</f>
        <v>51032.773939999999</v>
      </c>
      <c r="H557" s="60">
        <f>H460+H398+H173</f>
        <v>-4287.892890000001</v>
      </c>
      <c r="I557" s="60">
        <f>I460+I398+I173</f>
        <v>46744.881050000004</v>
      </c>
      <c r="J557" s="98"/>
    </row>
    <row r="558" spans="1:10" ht="12.75" x14ac:dyDescent="0.2">
      <c r="A558" s="28"/>
      <c r="B558" s="30"/>
      <c r="C558" s="21" t="s">
        <v>72</v>
      </c>
      <c r="D558" s="20" t="s">
        <v>59</v>
      </c>
      <c r="E558" s="21" t="s">
        <v>72</v>
      </c>
      <c r="F558" s="20" t="s">
        <v>59</v>
      </c>
      <c r="G558" s="60">
        <f>G483</f>
        <v>3319.2139999999999</v>
      </c>
      <c r="H558" s="60">
        <f>H483</f>
        <v>5207.2015900000006</v>
      </c>
      <c r="I558" s="60">
        <f>I483</f>
        <v>8526.4155900000005</v>
      </c>
      <c r="J558" s="98"/>
    </row>
    <row r="559" spans="1:10" ht="12.75" x14ac:dyDescent="0.2">
      <c r="A559" s="28"/>
      <c r="B559" s="30"/>
      <c r="C559" s="318" t="s">
        <v>178</v>
      </c>
      <c r="D559" s="339"/>
      <c r="E559" s="318" t="s">
        <v>178</v>
      </c>
      <c r="F559" s="339"/>
      <c r="G559" s="60"/>
      <c r="H559" s="60"/>
      <c r="I559" s="60"/>
      <c r="J559" s="98"/>
    </row>
    <row r="560" spans="1:10" ht="12.75" x14ac:dyDescent="0.2">
      <c r="A560" s="28"/>
      <c r="B560" s="30"/>
      <c r="C560" s="21" t="s">
        <v>67</v>
      </c>
      <c r="D560" s="20" t="s">
        <v>15</v>
      </c>
      <c r="E560" s="21" t="s">
        <v>67</v>
      </c>
      <c r="F560" s="20" t="s">
        <v>15</v>
      </c>
      <c r="G560" s="60"/>
      <c r="H560" s="60"/>
      <c r="I560" s="60"/>
      <c r="J560" s="98"/>
    </row>
    <row r="561" spans="1:10" ht="12.75" x14ac:dyDescent="0.2">
      <c r="A561" s="28"/>
      <c r="B561" s="30"/>
      <c r="C561" s="21" t="s">
        <v>67</v>
      </c>
      <c r="D561" s="20" t="s">
        <v>27</v>
      </c>
      <c r="E561" s="21" t="s">
        <v>67</v>
      </c>
      <c r="F561" s="20" t="s">
        <v>27</v>
      </c>
      <c r="G561" s="60"/>
      <c r="H561" s="60"/>
      <c r="I561" s="60"/>
      <c r="J561" s="98"/>
    </row>
    <row r="562" spans="1:10" ht="12.75" x14ac:dyDescent="0.2">
      <c r="A562" s="28"/>
      <c r="B562" s="30"/>
      <c r="C562" s="21" t="s">
        <v>67</v>
      </c>
      <c r="D562" s="20" t="s">
        <v>59</v>
      </c>
      <c r="E562" s="21" t="s">
        <v>67</v>
      </c>
      <c r="F562" s="20" t="s">
        <v>59</v>
      </c>
      <c r="G562" s="60"/>
      <c r="H562" s="60"/>
      <c r="I562" s="60"/>
      <c r="J562" s="98"/>
    </row>
    <row r="563" spans="1:10" ht="12.75" x14ac:dyDescent="0.2">
      <c r="A563" s="28"/>
      <c r="B563" s="30"/>
      <c r="C563" s="21" t="s">
        <v>67</v>
      </c>
      <c r="D563" s="20" t="s">
        <v>67</v>
      </c>
      <c r="E563" s="21" t="s">
        <v>67</v>
      </c>
      <c r="F563" s="20" t="s">
        <v>67</v>
      </c>
      <c r="G563" s="60"/>
      <c r="H563" s="60"/>
      <c r="I563" s="60"/>
      <c r="J563" s="98"/>
    </row>
    <row r="564" spans="1:10" ht="12.75" x14ac:dyDescent="0.2">
      <c r="A564" s="28"/>
      <c r="B564" s="30"/>
      <c r="C564" s="318" t="s">
        <v>175</v>
      </c>
      <c r="D564" s="339"/>
      <c r="E564" s="318" t="s">
        <v>175</v>
      </c>
      <c r="F564" s="339"/>
      <c r="G564" s="60">
        <f>G95+G406+G506</f>
        <v>10655.43849</v>
      </c>
      <c r="H564" s="60">
        <f>H95+H406+H506</f>
        <v>210.46032000000002</v>
      </c>
      <c r="I564" s="60">
        <f>I95+I406+I506</f>
        <v>10865.898809999999</v>
      </c>
      <c r="J564" s="98"/>
    </row>
    <row r="565" spans="1:10" ht="12.75" x14ac:dyDescent="0.2">
      <c r="A565" s="28"/>
      <c r="B565" s="30"/>
      <c r="C565" s="21" t="s">
        <v>54</v>
      </c>
      <c r="D565" s="20" t="s">
        <v>15</v>
      </c>
      <c r="E565" s="21" t="s">
        <v>54</v>
      </c>
      <c r="F565" s="20" t="s">
        <v>15</v>
      </c>
      <c r="G565" s="60">
        <f>G407</f>
        <v>720.73</v>
      </c>
      <c r="H565" s="60">
        <f>H407</f>
        <v>0</v>
      </c>
      <c r="I565" s="60">
        <f>I407</f>
        <v>720.73</v>
      </c>
      <c r="J565" s="98"/>
    </row>
    <row r="566" spans="1:10" ht="12.75" x14ac:dyDescent="0.2">
      <c r="A566" s="28"/>
      <c r="B566" s="30"/>
      <c r="C566" s="21" t="s">
        <v>54</v>
      </c>
      <c r="D566" s="20" t="s">
        <v>27</v>
      </c>
      <c r="E566" s="21" t="s">
        <v>54</v>
      </c>
      <c r="F566" s="20" t="s">
        <v>27</v>
      </c>
      <c r="G566" s="60"/>
      <c r="H566" s="60"/>
      <c r="I566" s="60"/>
      <c r="J566" s="98"/>
    </row>
    <row r="567" spans="1:10" ht="12.75" x14ac:dyDescent="0.2">
      <c r="A567" s="28"/>
      <c r="B567" s="30"/>
      <c r="C567" s="21" t="s">
        <v>54</v>
      </c>
      <c r="D567" s="20" t="s">
        <v>6</v>
      </c>
      <c r="E567" s="21" t="s">
        <v>54</v>
      </c>
      <c r="F567" s="20" t="s">
        <v>6</v>
      </c>
      <c r="G567" s="60">
        <f>G412</f>
        <v>4819.8084900000003</v>
      </c>
      <c r="H567" s="60">
        <f>H412</f>
        <v>150.66032000000001</v>
      </c>
      <c r="I567" s="60">
        <f>I412</f>
        <v>4970.4688100000003</v>
      </c>
      <c r="J567" s="98"/>
    </row>
    <row r="568" spans="1:10" ht="12.75" x14ac:dyDescent="0.2">
      <c r="A568" s="28"/>
      <c r="B568" s="30"/>
      <c r="C568" s="21" t="s">
        <v>54</v>
      </c>
      <c r="D568" s="20" t="s">
        <v>59</v>
      </c>
      <c r="E568" s="21" t="s">
        <v>54</v>
      </c>
      <c r="F568" s="20" t="s">
        <v>59</v>
      </c>
      <c r="G568" s="60">
        <f>G96</f>
        <v>5054.8999999999996</v>
      </c>
      <c r="H568" s="60">
        <f>H96</f>
        <v>0</v>
      </c>
      <c r="I568" s="60">
        <f>I96</f>
        <v>5054.8999999999996</v>
      </c>
      <c r="J568" s="98"/>
    </row>
    <row r="569" spans="1:10" ht="12.75" x14ac:dyDescent="0.2">
      <c r="A569" s="28"/>
      <c r="B569" s="30"/>
      <c r="C569" s="21" t="s">
        <v>54</v>
      </c>
      <c r="D569" s="20" t="s">
        <v>53</v>
      </c>
      <c r="E569" s="21" t="s">
        <v>54</v>
      </c>
      <c r="F569" s="20" t="s">
        <v>53</v>
      </c>
      <c r="G569" s="60">
        <f>G507</f>
        <v>60</v>
      </c>
      <c r="H569" s="60">
        <f>H507</f>
        <v>59.8</v>
      </c>
      <c r="I569" s="60">
        <f>I507</f>
        <v>119.8</v>
      </c>
      <c r="J569" s="98"/>
    </row>
    <row r="570" spans="1:10" ht="12.75" x14ac:dyDescent="0.2">
      <c r="A570" s="28"/>
      <c r="B570" s="30"/>
      <c r="C570" s="318" t="s">
        <v>171</v>
      </c>
      <c r="D570" s="339"/>
      <c r="E570" s="318" t="s">
        <v>171</v>
      </c>
      <c r="F570" s="339"/>
      <c r="G570" s="60">
        <f>SUM(G571:G572)</f>
        <v>630</v>
      </c>
      <c r="H570" s="60">
        <f t="shared" ref="H570:I570" si="258">SUM(H571:H572)</f>
        <v>464</v>
      </c>
      <c r="I570" s="60">
        <f t="shared" si="258"/>
        <v>1094</v>
      </c>
      <c r="J570" s="98"/>
    </row>
    <row r="571" spans="1:10" ht="12.75" x14ac:dyDescent="0.2">
      <c r="A571" s="28"/>
      <c r="B571" s="30"/>
      <c r="C571" s="21" t="s">
        <v>37</v>
      </c>
      <c r="D571" s="20" t="s">
        <v>15</v>
      </c>
      <c r="E571" s="21" t="s">
        <v>37</v>
      </c>
      <c r="F571" s="20" t="s">
        <v>15</v>
      </c>
      <c r="G571" s="60">
        <f>G513+G179</f>
        <v>630</v>
      </c>
      <c r="H571" s="60">
        <f>H513+H179</f>
        <v>464</v>
      </c>
      <c r="I571" s="60">
        <f>I513+I179</f>
        <v>1094</v>
      </c>
      <c r="J571" s="98"/>
    </row>
    <row r="572" spans="1:10" ht="12.75" x14ac:dyDescent="0.2">
      <c r="A572" s="28"/>
      <c r="B572" s="30"/>
      <c r="C572" s="23" t="s">
        <v>37</v>
      </c>
      <c r="D572" s="21" t="s">
        <v>36</v>
      </c>
      <c r="E572" s="23" t="s">
        <v>37</v>
      </c>
      <c r="F572" s="21" t="s">
        <v>36</v>
      </c>
      <c r="G572" s="60"/>
      <c r="H572" s="60"/>
      <c r="I572" s="60"/>
      <c r="J572" s="98"/>
    </row>
    <row r="573" spans="1:10" ht="12.75" x14ac:dyDescent="0.2">
      <c r="A573" s="28"/>
      <c r="B573" s="30"/>
      <c r="C573" s="318" t="s">
        <v>169</v>
      </c>
      <c r="D573" s="339"/>
      <c r="E573" s="318" t="s">
        <v>169</v>
      </c>
      <c r="F573" s="339"/>
      <c r="G573" s="60">
        <f t="shared" ref="G573:I574" si="259">G432</f>
        <v>1300.4059999999999</v>
      </c>
      <c r="H573" s="60">
        <f t="shared" si="259"/>
        <v>0</v>
      </c>
      <c r="I573" s="60">
        <f t="shared" si="259"/>
        <v>1300.4059999999999</v>
      </c>
      <c r="J573" s="98"/>
    </row>
    <row r="574" spans="1:10" ht="12.75" x14ac:dyDescent="0.2">
      <c r="A574" s="28"/>
      <c r="B574" s="30"/>
      <c r="C574" s="21" t="s">
        <v>28</v>
      </c>
      <c r="D574" s="20" t="s">
        <v>27</v>
      </c>
      <c r="E574" s="21" t="s">
        <v>28</v>
      </c>
      <c r="F574" s="20" t="s">
        <v>27</v>
      </c>
      <c r="G574" s="60">
        <f t="shared" si="259"/>
        <v>1300.4059999999999</v>
      </c>
      <c r="H574" s="60">
        <f t="shared" si="259"/>
        <v>0</v>
      </c>
      <c r="I574" s="60">
        <f t="shared" si="259"/>
        <v>1300.4059999999999</v>
      </c>
      <c r="J574" s="98"/>
    </row>
    <row r="575" spans="1:10" ht="12.75" x14ac:dyDescent="0.2">
      <c r="A575" s="28"/>
      <c r="B575" s="30"/>
      <c r="C575" s="318" t="s">
        <v>167</v>
      </c>
      <c r="D575" s="339"/>
      <c r="E575" s="318" t="s">
        <v>167</v>
      </c>
      <c r="F575" s="339"/>
      <c r="G575" s="60">
        <f>G124+G438</f>
        <v>98</v>
      </c>
      <c r="H575" s="60">
        <f>H124+H438</f>
        <v>0</v>
      </c>
      <c r="I575" s="60">
        <f>I124+I438</f>
        <v>98</v>
      </c>
      <c r="J575" s="98"/>
    </row>
    <row r="576" spans="1:10" ht="12.75" x14ac:dyDescent="0.2">
      <c r="A576" s="28"/>
      <c r="B576" s="30"/>
      <c r="C576" s="21" t="s">
        <v>24</v>
      </c>
      <c r="D576" s="20" t="s">
        <v>15</v>
      </c>
      <c r="E576" s="21" t="s">
        <v>24</v>
      </c>
      <c r="F576" s="20" t="s">
        <v>15</v>
      </c>
      <c r="G576" s="60">
        <f>G125+G439</f>
        <v>98</v>
      </c>
      <c r="H576" s="60">
        <f>H125+H439</f>
        <v>0</v>
      </c>
      <c r="I576" s="60">
        <f>I125+I439</f>
        <v>98</v>
      </c>
      <c r="J576" s="98"/>
    </row>
    <row r="577" spans="1:10" ht="12.75" x14ac:dyDescent="0.2">
      <c r="A577" s="28"/>
      <c r="B577" s="30"/>
      <c r="C577" s="318" t="s">
        <v>165</v>
      </c>
      <c r="D577" s="339"/>
      <c r="E577" s="318" t="s">
        <v>165</v>
      </c>
      <c r="F577" s="339"/>
      <c r="G577" s="60">
        <f>G184</f>
        <v>36825.599999999999</v>
      </c>
      <c r="H577" s="60">
        <f>H184</f>
        <v>0</v>
      </c>
      <c r="I577" s="60">
        <f>I184</f>
        <v>36825.599999999999</v>
      </c>
      <c r="J577" s="98"/>
    </row>
    <row r="578" spans="1:10" ht="12.75" x14ac:dyDescent="0.2">
      <c r="A578" s="28"/>
      <c r="B578" s="30"/>
      <c r="C578" s="21" t="s">
        <v>7</v>
      </c>
      <c r="D578" s="20" t="s">
        <v>15</v>
      </c>
      <c r="E578" s="21" t="s">
        <v>7</v>
      </c>
      <c r="F578" s="20" t="s">
        <v>15</v>
      </c>
      <c r="G578" s="60">
        <f>G185</f>
        <v>25963.5</v>
      </c>
      <c r="H578" s="60">
        <f>H185</f>
        <v>0</v>
      </c>
      <c r="I578" s="60">
        <f>I185</f>
        <v>25963.5</v>
      </c>
      <c r="J578" s="98"/>
    </row>
    <row r="579" spans="1:10" ht="12.75" x14ac:dyDescent="0.2">
      <c r="A579" s="28"/>
      <c r="B579" s="30"/>
      <c r="C579" s="21" t="s">
        <v>7</v>
      </c>
      <c r="D579" s="20" t="s">
        <v>6</v>
      </c>
      <c r="E579" s="21" t="s">
        <v>7</v>
      </c>
      <c r="F579" s="20" t="s">
        <v>6</v>
      </c>
      <c r="G579" s="60">
        <f>G192</f>
        <v>10862.1</v>
      </c>
      <c r="H579" s="60">
        <f>H192</f>
        <v>0</v>
      </c>
      <c r="I579" s="60">
        <f>I192</f>
        <v>10862.1</v>
      </c>
      <c r="J579" s="98"/>
    </row>
    <row r="580" spans="1:10" ht="12.75" x14ac:dyDescent="0.2">
      <c r="A580" s="28"/>
      <c r="B580" s="30"/>
      <c r="C580" s="21" t="s">
        <v>225</v>
      </c>
      <c r="D580" s="20" t="s">
        <v>225</v>
      </c>
      <c r="E580" s="21" t="s">
        <v>225</v>
      </c>
      <c r="F580" s="20" t="s">
        <v>225</v>
      </c>
      <c r="G580" s="60"/>
      <c r="H580" s="60"/>
      <c r="I580" s="60"/>
      <c r="J580" s="98"/>
    </row>
    <row r="581" spans="1:10" ht="12.75" x14ac:dyDescent="0.2">
      <c r="A581" s="28"/>
      <c r="B581" s="30"/>
      <c r="C581" s="30"/>
      <c r="D581" s="30"/>
      <c r="E581" s="292"/>
      <c r="F581" s="17"/>
      <c r="G581" s="60">
        <f>G522+G531+G533+G538+G543+G547+G549+G556+G559+G564+G570+G573+G575+G577+G580</f>
        <v>667958.89795000001</v>
      </c>
      <c r="H581" s="60">
        <f>H522+H531+H533+H538+H543+H547+H549+H556+H559+H564+H570+H573+H575+H577+H580</f>
        <v>32547.128330000007</v>
      </c>
      <c r="I581" s="60">
        <f>I522+I531+I533+I538+I543+I547+I549+I556+I559+I564+I570+I573+I575+I577+I580</f>
        <v>700506.02627999999</v>
      </c>
      <c r="J581" s="98"/>
    </row>
    <row r="582" spans="1:10" ht="12.75" x14ac:dyDescent="0.2">
      <c r="A582" s="28"/>
      <c r="G582" s="61">
        <f>G519-G581</f>
        <v>0</v>
      </c>
      <c r="H582" s="61">
        <f>H519-H581</f>
        <v>0</v>
      </c>
      <c r="I582" s="61">
        <f t="shared" ref="I582" si="260">I519-I581</f>
        <v>0</v>
      </c>
      <c r="J582" s="98"/>
    </row>
    <row r="583" spans="1:10" x14ac:dyDescent="0.25">
      <c r="J583" s="98"/>
    </row>
    <row r="584" spans="1:10" x14ac:dyDescent="0.25">
      <c r="C584" s="238">
        <f>I584-D584</f>
        <v>0</v>
      </c>
      <c r="D584" s="238">
        <f>G584+H584</f>
        <v>14142.10866</v>
      </c>
      <c r="E584" s="67" t="s">
        <v>324</v>
      </c>
      <c r="F584" s="68"/>
      <c r="G584" s="271">
        <f>G211</f>
        <v>11651.85787</v>
      </c>
      <c r="H584" s="271">
        <f>H211</f>
        <v>2490.2507900000001</v>
      </c>
      <c r="I584" s="271">
        <f>I211</f>
        <v>14142.10866</v>
      </c>
      <c r="J584" s="98"/>
    </row>
    <row r="585" spans="1:10" x14ac:dyDescent="0.25">
      <c r="C585" s="238">
        <f t="shared" ref="C585:C588" si="261">I585-D585</f>
        <v>0</v>
      </c>
      <c r="D585" s="238">
        <f t="shared" ref="D585:D588" si="262">G585+H585</f>
        <v>12487.64421</v>
      </c>
      <c r="E585" s="67" t="s">
        <v>63</v>
      </c>
      <c r="F585" s="68"/>
      <c r="G585" s="271">
        <f>G290+G339+G413</f>
        <v>12487.64421</v>
      </c>
      <c r="H585" s="271">
        <f>H290+H339+H413</f>
        <v>0</v>
      </c>
      <c r="I585" s="271">
        <f>I290+I339+I413</f>
        <v>12487.64421</v>
      </c>
      <c r="J585" s="98"/>
    </row>
    <row r="586" spans="1:10" x14ac:dyDescent="0.25">
      <c r="C586" s="238">
        <f t="shared" si="261"/>
        <v>0</v>
      </c>
      <c r="D586" s="238">
        <f t="shared" si="262"/>
        <v>1356.106</v>
      </c>
      <c r="E586" s="67" t="s">
        <v>31</v>
      </c>
      <c r="F586" s="68"/>
      <c r="G586" s="271">
        <f>G239+G434</f>
        <v>1356.106</v>
      </c>
      <c r="H586" s="271">
        <f>H239+H434</f>
        <v>0</v>
      </c>
      <c r="I586" s="271">
        <f>I239+I434</f>
        <v>1356.106</v>
      </c>
      <c r="J586" s="98"/>
    </row>
    <row r="587" spans="1:10" x14ac:dyDescent="0.25">
      <c r="C587" s="238">
        <f t="shared" si="261"/>
        <v>0</v>
      </c>
      <c r="D587" s="238">
        <f t="shared" si="262"/>
        <v>480</v>
      </c>
      <c r="E587" s="67" t="s">
        <v>103</v>
      </c>
      <c r="F587" s="68"/>
      <c r="G587" s="271">
        <f>G307</f>
        <v>780</v>
      </c>
      <c r="H587" s="271">
        <f>H307</f>
        <v>-300</v>
      </c>
      <c r="I587" s="271">
        <f>I307</f>
        <v>480</v>
      </c>
      <c r="J587" s="98"/>
    </row>
    <row r="588" spans="1:10" s="36" customFormat="1" ht="12.75" x14ac:dyDescent="0.2">
      <c r="A588" s="66"/>
      <c r="C588" s="238">
        <f t="shared" si="261"/>
        <v>0</v>
      </c>
      <c r="D588" s="238">
        <f t="shared" si="262"/>
        <v>28465.858869999996</v>
      </c>
      <c r="E588" s="69" t="s">
        <v>4</v>
      </c>
      <c r="F588" s="70"/>
      <c r="G588" s="59">
        <f t="shared" ref="G588" si="263">SUM(G584:G587)</f>
        <v>26275.608079999998</v>
      </c>
      <c r="H588" s="59">
        <f t="shared" ref="H588" si="264">SUM(H584:H587)</f>
        <v>2190.2507900000001</v>
      </c>
      <c r="I588" s="59">
        <f t="shared" ref="I588" si="265">SUM(I584:I587)</f>
        <v>28465.85887</v>
      </c>
      <c r="J588" s="97"/>
    </row>
    <row r="589" spans="1:10" x14ac:dyDescent="0.25">
      <c r="C589" s="238">
        <f>I589-D589</f>
        <v>0</v>
      </c>
      <c r="D589" s="238">
        <f>G589+H589</f>
        <v>1628.0509999999999</v>
      </c>
      <c r="E589" s="67" t="s">
        <v>75</v>
      </c>
      <c r="F589" s="68"/>
      <c r="G589" s="271">
        <f>G484</f>
        <v>1107.8399999999999</v>
      </c>
      <c r="H589" s="271">
        <f>H484</f>
        <v>520.21100000000001</v>
      </c>
      <c r="I589" s="271">
        <f>I484</f>
        <v>1628.0509999999999</v>
      </c>
      <c r="J589" s="98"/>
    </row>
    <row r="590" spans="1:10" x14ac:dyDescent="0.25">
      <c r="C590" s="238">
        <f t="shared" ref="C590:C607" si="266">I590-D590</f>
        <v>0</v>
      </c>
      <c r="D590" s="238">
        <f t="shared" ref="D590:D607" si="267">G590+H590</f>
        <v>6898.3645900000001</v>
      </c>
      <c r="E590" s="67" t="s">
        <v>645</v>
      </c>
      <c r="F590" s="68"/>
      <c r="G590" s="271">
        <f>G490</f>
        <v>0</v>
      </c>
      <c r="H590" s="271">
        <f t="shared" ref="H590:I590" si="268">H490</f>
        <v>6898.3645900000001</v>
      </c>
      <c r="I590" s="271">
        <f t="shared" si="268"/>
        <v>6898.3645900000001</v>
      </c>
      <c r="J590" s="98"/>
    </row>
    <row r="591" spans="1:10" x14ac:dyDescent="0.25">
      <c r="C591" s="238">
        <f t="shared" si="266"/>
        <v>0</v>
      </c>
      <c r="D591" s="238">
        <f t="shared" si="267"/>
        <v>46259.381049999996</v>
      </c>
      <c r="E591" s="67" t="s">
        <v>41</v>
      </c>
      <c r="F591" s="68"/>
      <c r="G591" s="271">
        <f>G243+G399+G461+G499</f>
        <v>52783.647939999995</v>
      </c>
      <c r="H591" s="271">
        <f t="shared" ref="H591:I591" si="269">H243+H399+H461+H499</f>
        <v>-6524.2668900000008</v>
      </c>
      <c r="I591" s="271">
        <f t="shared" si="269"/>
        <v>46259.381050000004</v>
      </c>
      <c r="J591" s="98"/>
    </row>
    <row r="592" spans="1:10" x14ac:dyDescent="0.25">
      <c r="C592" s="238">
        <f t="shared" si="266"/>
        <v>0</v>
      </c>
      <c r="D592" s="238">
        <f t="shared" si="267"/>
        <v>1338.53</v>
      </c>
      <c r="E592" s="67" t="s">
        <v>57</v>
      </c>
      <c r="F592" s="68"/>
      <c r="G592" s="271">
        <f>G220+G408+G421+G508</f>
        <v>1218.73</v>
      </c>
      <c r="H592" s="271">
        <f>H220+H408+H421+H508</f>
        <v>119.8</v>
      </c>
      <c r="I592" s="271">
        <f>I220+I408+I421+I508</f>
        <v>1338.53</v>
      </c>
      <c r="J592" s="98"/>
    </row>
    <row r="593" spans="1:10" x14ac:dyDescent="0.25">
      <c r="C593" s="238">
        <f t="shared" si="266"/>
        <v>0</v>
      </c>
      <c r="D593" s="238">
        <f t="shared" si="267"/>
        <v>0</v>
      </c>
      <c r="E593" s="67" t="s">
        <v>60</v>
      </c>
      <c r="F593" s="68"/>
      <c r="G593" s="271"/>
      <c r="H593" s="271"/>
      <c r="I593" s="271"/>
      <c r="J593" s="98"/>
    </row>
    <row r="594" spans="1:10" x14ac:dyDescent="0.25">
      <c r="C594" s="238">
        <f t="shared" si="266"/>
        <v>0</v>
      </c>
      <c r="D594" s="238">
        <f t="shared" si="267"/>
        <v>1314.9211599999999</v>
      </c>
      <c r="E594" s="67" t="s">
        <v>471</v>
      </c>
      <c r="F594" s="68"/>
      <c r="G594" s="271">
        <f>G514+G417+G454</f>
        <v>760.26083999999992</v>
      </c>
      <c r="H594" s="271">
        <f>H514+H417+H454</f>
        <v>554.66031999999996</v>
      </c>
      <c r="I594" s="271">
        <f>I514+I417+I454</f>
        <v>1314.9211599999999</v>
      </c>
      <c r="J594" s="98"/>
    </row>
    <row r="595" spans="1:10" s="36" customFormat="1" ht="12.75" x14ac:dyDescent="0.2">
      <c r="A595" s="66"/>
      <c r="C595" s="238">
        <f t="shared" si="266"/>
        <v>0</v>
      </c>
      <c r="D595" s="238">
        <f t="shared" si="267"/>
        <v>57439.247799999997</v>
      </c>
      <c r="E595" s="69" t="s">
        <v>3</v>
      </c>
      <c r="F595" s="70"/>
      <c r="G595" s="59">
        <f>SUM(G589:G594)</f>
        <v>55870.478779999998</v>
      </c>
      <c r="H595" s="59">
        <f t="shared" ref="H595" si="270">SUM(H589:H594)</f>
        <v>1568.7690199999995</v>
      </c>
      <c r="I595" s="59">
        <f>SUM(I589:I594)</f>
        <v>57439.247799999997</v>
      </c>
      <c r="J595" s="97"/>
    </row>
    <row r="596" spans="1:10" x14ac:dyDescent="0.25">
      <c r="C596" s="238">
        <f t="shared" si="266"/>
        <v>0</v>
      </c>
      <c r="D596" s="238">
        <f t="shared" si="267"/>
        <v>4769.93588</v>
      </c>
      <c r="E596" s="67" t="s">
        <v>139</v>
      </c>
      <c r="F596" s="68"/>
      <c r="G596" s="271">
        <f>G105</f>
        <v>3394.3330000000001</v>
      </c>
      <c r="H596" s="271">
        <f t="shared" ref="H596:I596" si="271">H105</f>
        <v>1375.6028799999999</v>
      </c>
      <c r="I596" s="271">
        <f t="shared" si="271"/>
        <v>4769.93588</v>
      </c>
      <c r="J596" s="98"/>
    </row>
    <row r="597" spans="1:10" x14ac:dyDescent="0.25">
      <c r="C597" s="238">
        <f t="shared" si="266"/>
        <v>0</v>
      </c>
      <c r="D597" s="238">
        <f t="shared" si="267"/>
        <v>39337.50299999999</v>
      </c>
      <c r="E597" s="67" t="s">
        <v>12</v>
      </c>
      <c r="F597" s="68"/>
      <c r="G597" s="271">
        <f>G114+G126+G186+G193+G230+G248+G440+G174+G133+G140+G180</f>
        <v>39735.499999999993</v>
      </c>
      <c r="H597" s="271">
        <f>H114+H126+H186+H193+H230+H248+H440+H174+H133+H140+H180</f>
        <v>-397.99700000000001</v>
      </c>
      <c r="I597" s="271">
        <f>I114+I126+I186+I193+I230+I248+I440+I174+I133+I140+I180</f>
        <v>39337.502999999997</v>
      </c>
      <c r="J597" s="98"/>
    </row>
    <row r="598" spans="1:10" x14ac:dyDescent="0.25">
      <c r="C598" s="238">
        <f t="shared" si="266"/>
        <v>0</v>
      </c>
      <c r="D598" s="238">
        <f t="shared" si="267"/>
        <v>0</v>
      </c>
      <c r="E598" s="67" t="s">
        <v>97</v>
      </c>
      <c r="F598" s="68"/>
      <c r="G598" s="271"/>
      <c r="H598" s="271"/>
      <c r="I598" s="271"/>
      <c r="J598" s="98"/>
    </row>
    <row r="599" spans="1:10" s="36" customFormat="1" ht="12.75" x14ac:dyDescent="0.2">
      <c r="A599" s="66"/>
      <c r="C599" s="238">
        <f t="shared" si="266"/>
        <v>0</v>
      </c>
      <c r="D599" s="238">
        <f t="shared" si="267"/>
        <v>44107.438879999994</v>
      </c>
      <c r="E599" s="69" t="s">
        <v>2</v>
      </c>
      <c r="F599" s="70"/>
      <c r="G599" s="59">
        <f t="shared" ref="G599:I599" si="272">SUM(G596:G598)</f>
        <v>43129.832999999991</v>
      </c>
      <c r="H599" s="59">
        <f t="shared" si="272"/>
        <v>977.60587999999984</v>
      </c>
      <c r="I599" s="59">
        <f t="shared" si="272"/>
        <v>44107.438879999994</v>
      </c>
      <c r="J599" s="97"/>
    </row>
    <row r="600" spans="1:10" ht="12.75" x14ac:dyDescent="0.2">
      <c r="C600" s="238">
        <f t="shared" si="266"/>
        <v>0</v>
      </c>
      <c r="D600" s="238">
        <f t="shared" si="267"/>
        <v>3407.8100000000004</v>
      </c>
      <c r="E600" s="67" t="s">
        <v>437</v>
      </c>
      <c r="F600" s="68"/>
      <c r="G600" s="60">
        <f>G264</f>
        <v>3261.7400000000002</v>
      </c>
      <c r="H600" s="60">
        <f>H264</f>
        <v>146.07</v>
      </c>
      <c r="I600" s="60">
        <f>I264</f>
        <v>3407.81</v>
      </c>
      <c r="J600" s="98"/>
    </row>
    <row r="601" spans="1:10" ht="12.75" x14ac:dyDescent="0.2">
      <c r="C601" s="238">
        <f t="shared" si="266"/>
        <v>0</v>
      </c>
      <c r="D601" s="238">
        <f t="shared" si="267"/>
        <v>0</v>
      </c>
      <c r="E601" s="67" t="s">
        <v>436</v>
      </c>
      <c r="F601" s="68"/>
      <c r="G601" s="60"/>
      <c r="H601" s="60"/>
      <c r="I601" s="60"/>
      <c r="J601" s="98"/>
    </row>
    <row r="602" spans="1:10" ht="12.75" x14ac:dyDescent="0.2">
      <c r="C602" s="238">
        <f t="shared" si="266"/>
        <v>0</v>
      </c>
      <c r="D602" s="238">
        <f t="shared" si="267"/>
        <v>3899.5513399999995</v>
      </c>
      <c r="E602" s="67" t="s">
        <v>95</v>
      </c>
      <c r="F602" s="68"/>
      <c r="G602" s="60">
        <f>G273+G279+G224+G254+G144</f>
        <v>3914.9513399999996</v>
      </c>
      <c r="H602" s="60">
        <f>H273+H279+H224+H254+H144</f>
        <v>-15.4</v>
      </c>
      <c r="I602" s="60">
        <f>I273+I279+I224+I254+I144</f>
        <v>3899.5513399999995</v>
      </c>
      <c r="J602" s="98"/>
    </row>
    <row r="603" spans="1:10" ht="12.75" x14ac:dyDescent="0.2">
      <c r="C603" s="238">
        <f t="shared" si="266"/>
        <v>0</v>
      </c>
      <c r="D603" s="238">
        <f t="shared" si="267"/>
        <v>8425.0397999999986</v>
      </c>
      <c r="E603" s="67" t="s">
        <v>91</v>
      </c>
      <c r="F603" s="68"/>
      <c r="G603" s="60">
        <f>G334+G343+G375+G168+G163</f>
        <v>7140.4397999999992</v>
      </c>
      <c r="H603" s="60">
        <f>H334+H343+H375+H168+H163</f>
        <v>1284.5999999999999</v>
      </c>
      <c r="I603" s="60">
        <f>I334+I343+I375+I168+I163</f>
        <v>8425.0397999999986</v>
      </c>
      <c r="J603" s="2"/>
    </row>
    <row r="604" spans="1:10" ht="12.75" x14ac:dyDescent="0.2">
      <c r="C604" s="238">
        <f t="shared" si="266"/>
        <v>0</v>
      </c>
      <c r="D604" s="238">
        <f t="shared" si="267"/>
        <v>5551.8</v>
      </c>
      <c r="E604" s="67" t="s">
        <v>404</v>
      </c>
      <c r="F604" s="68"/>
      <c r="G604" s="60">
        <f>G300+G150</f>
        <v>5551.8</v>
      </c>
      <c r="H604" s="60">
        <f>H300+H150</f>
        <v>0</v>
      </c>
      <c r="I604" s="60">
        <f>I300+I150</f>
        <v>5551.8</v>
      </c>
      <c r="J604" s="102"/>
    </row>
    <row r="605" spans="1:10" ht="12.75" x14ac:dyDescent="0.2">
      <c r="C605" s="238">
        <f t="shared" si="266"/>
        <v>0</v>
      </c>
      <c r="D605" s="238">
        <f t="shared" si="267"/>
        <v>15</v>
      </c>
      <c r="E605" s="67" t="s">
        <v>433</v>
      </c>
      <c r="F605" s="68"/>
      <c r="G605" s="60">
        <f>G258</f>
        <v>15</v>
      </c>
      <c r="H605" s="60">
        <f>H258</f>
        <v>0</v>
      </c>
      <c r="I605" s="60">
        <f>I258</f>
        <v>15</v>
      </c>
      <c r="J605" s="102"/>
    </row>
    <row r="606" spans="1:10" s="36" customFormat="1" ht="12.75" x14ac:dyDescent="0.2">
      <c r="A606" s="66"/>
      <c r="C606" s="238">
        <f t="shared" si="266"/>
        <v>0</v>
      </c>
      <c r="D606" s="238">
        <f t="shared" si="267"/>
        <v>21299.201139999997</v>
      </c>
      <c r="E606" s="69" t="s">
        <v>1</v>
      </c>
      <c r="F606" s="70"/>
      <c r="G606" s="59">
        <f t="shared" ref="G606" si="273">SUM(G600:G605)</f>
        <v>19883.931139999997</v>
      </c>
      <c r="H606" s="59">
        <f t="shared" ref="H606" si="274">SUM(H600:H605)</f>
        <v>1415.27</v>
      </c>
      <c r="I606" s="59">
        <f t="shared" ref="I606" si="275">SUM(I600:I605)</f>
        <v>21299.201139999997</v>
      </c>
      <c r="J606" s="97"/>
    </row>
    <row r="607" spans="1:10" ht="12.75" x14ac:dyDescent="0.2">
      <c r="C607" s="238">
        <f t="shared" si="266"/>
        <v>0</v>
      </c>
      <c r="D607" s="238">
        <f t="shared" si="267"/>
        <v>0</v>
      </c>
      <c r="E607" s="67" t="s">
        <v>325</v>
      </c>
      <c r="F607" s="68"/>
      <c r="G607" s="60"/>
      <c r="H607" s="60"/>
      <c r="I607" s="60"/>
      <c r="J607" s="98"/>
    </row>
    <row r="608" spans="1:10" s="36" customFormat="1" ht="12.75" x14ac:dyDescent="0.2">
      <c r="A608" s="66"/>
      <c r="C608" s="36" t="s">
        <v>415</v>
      </c>
      <c r="E608" s="69" t="s">
        <v>243</v>
      </c>
      <c r="F608" s="70"/>
      <c r="G608" s="59">
        <f t="shared" ref="G608:I608" si="276">G607</f>
        <v>0</v>
      </c>
      <c r="H608" s="59">
        <f t="shared" si="276"/>
        <v>0</v>
      </c>
      <c r="I608" s="59">
        <f t="shared" si="276"/>
        <v>0</v>
      </c>
      <c r="J608" s="97"/>
    </row>
    <row r="609" spans="1:10" ht="12.75" x14ac:dyDescent="0.2">
      <c r="C609" s="238">
        <f t="shared" ref="C609" si="277">I609-D609</f>
        <v>0</v>
      </c>
      <c r="D609" s="238">
        <f t="shared" ref="D609" si="278">G609+H609</f>
        <v>1455.9480100000001</v>
      </c>
      <c r="E609" s="67" t="s">
        <v>467</v>
      </c>
      <c r="F609" s="68"/>
      <c r="G609" s="60">
        <f>G70</f>
        <v>1142.2</v>
      </c>
      <c r="H609" s="60">
        <f>H70</f>
        <v>313.74801000000002</v>
      </c>
      <c r="I609" s="60">
        <f>I70</f>
        <v>1455.9480100000001</v>
      </c>
      <c r="J609" s="98"/>
    </row>
    <row r="610" spans="1:10" ht="12.75" x14ac:dyDescent="0.2">
      <c r="C610" s="238">
        <f t="shared" ref="C610:C613" si="279">I610-D610</f>
        <v>0</v>
      </c>
      <c r="D610" s="238">
        <f t="shared" ref="D610:D613" si="280">G610+H610</f>
        <v>4239.24881</v>
      </c>
      <c r="E610" s="67" t="s">
        <v>468</v>
      </c>
      <c r="F610" s="68"/>
      <c r="G610" s="60">
        <f>G76</f>
        <v>4160.3410000000003</v>
      </c>
      <c r="H610" s="60">
        <f>H76</f>
        <v>78.907809999999998</v>
      </c>
      <c r="I610" s="60">
        <f>I76</f>
        <v>4239.24881</v>
      </c>
      <c r="J610" s="98"/>
    </row>
    <row r="611" spans="1:10" ht="12.75" x14ac:dyDescent="0.2">
      <c r="C611" s="238">
        <f t="shared" si="279"/>
        <v>0</v>
      </c>
      <c r="D611" s="238">
        <f t="shared" si="280"/>
        <v>10415.274710000002</v>
      </c>
      <c r="E611" s="67" t="s">
        <v>469</v>
      </c>
      <c r="F611" s="68"/>
      <c r="G611" s="60">
        <f>G85</f>
        <v>10401.219000000001</v>
      </c>
      <c r="H611" s="60">
        <f>H85</f>
        <v>14.055709999999999</v>
      </c>
      <c r="I611" s="60">
        <f>I85</f>
        <v>10415.27471</v>
      </c>
      <c r="J611" s="98"/>
    </row>
    <row r="612" spans="1:10" ht="12.75" x14ac:dyDescent="0.2">
      <c r="C612" s="238">
        <f t="shared" si="279"/>
        <v>0</v>
      </c>
      <c r="D612" s="238">
        <f t="shared" si="280"/>
        <v>466654.89654000005</v>
      </c>
      <c r="E612" s="67" t="s">
        <v>439</v>
      </c>
      <c r="F612" s="68"/>
      <c r="G612" s="60">
        <f>G11+G30+G97+G381+G391</f>
        <v>439164.21044000005</v>
      </c>
      <c r="H612" s="60">
        <f>H11+H30+H97+H381+H391</f>
        <v>27490.686100000006</v>
      </c>
      <c r="I612" s="60">
        <f>I11+I30+I97+I381+I391</f>
        <v>466654.89654000005</v>
      </c>
      <c r="J612" s="98"/>
    </row>
    <row r="613" spans="1:10" ht="12.75" x14ac:dyDescent="0.2">
      <c r="C613" s="238">
        <f t="shared" si="279"/>
        <v>0</v>
      </c>
      <c r="D613" s="238">
        <f t="shared" si="280"/>
        <v>31749.205840000002</v>
      </c>
      <c r="E613" s="67" t="s">
        <v>448</v>
      </c>
      <c r="F613" s="68"/>
      <c r="G613" s="60">
        <f>G55+G64+G447</f>
        <v>31849.209000000003</v>
      </c>
      <c r="H613" s="60">
        <f>H55+H64+H447</f>
        <v>-100.00316000000007</v>
      </c>
      <c r="I613" s="60">
        <f>I55+I64+I447</f>
        <v>31749.205840000002</v>
      </c>
      <c r="J613" s="98"/>
    </row>
    <row r="614" spans="1:10" ht="12.75" x14ac:dyDescent="0.2">
      <c r="C614" s="238">
        <f t="shared" ref="C614:C619" si="281">I614-D614</f>
        <v>0</v>
      </c>
      <c r="D614" s="238">
        <f t="shared" ref="D614:D619" si="282">G614+H614</f>
        <v>514514.57391000009</v>
      </c>
      <c r="E614" s="69" t="s">
        <v>470</v>
      </c>
      <c r="F614" s="68"/>
      <c r="G614" s="59">
        <f>SUM(G609:G613)</f>
        <v>486717.17944000009</v>
      </c>
      <c r="H614" s="59">
        <f t="shared" ref="H614" si="283">SUM(H609:H613)</f>
        <v>27797.394470000007</v>
      </c>
      <c r="I614" s="59">
        <f t="shared" ref="I614" si="284">SUM(I609:I613)</f>
        <v>514514.57391000004</v>
      </c>
      <c r="J614" s="98"/>
    </row>
    <row r="615" spans="1:10" ht="12.75" x14ac:dyDescent="0.2">
      <c r="C615" s="238">
        <f t="shared" si="281"/>
        <v>0</v>
      </c>
      <c r="D615" s="238">
        <f t="shared" si="282"/>
        <v>9534.5895</v>
      </c>
      <c r="E615" s="67" t="s">
        <v>615</v>
      </c>
      <c r="F615" s="68"/>
      <c r="G615" s="60">
        <f>G314</f>
        <v>8064.7295100000001</v>
      </c>
      <c r="H615" s="60">
        <f>H314</f>
        <v>1469.8599900000002</v>
      </c>
      <c r="I615" s="60">
        <f>I314</f>
        <v>9534.5894999999982</v>
      </c>
      <c r="J615" s="98"/>
    </row>
    <row r="616" spans="1:10" ht="12.75" x14ac:dyDescent="0.2">
      <c r="C616" s="238">
        <f t="shared" si="281"/>
        <v>0</v>
      </c>
      <c r="D616" s="238">
        <f t="shared" si="282"/>
        <v>16099.8181</v>
      </c>
      <c r="E616" s="67" t="s">
        <v>416</v>
      </c>
      <c r="F616" s="68"/>
      <c r="G616" s="60">
        <f>G323+G365</f>
        <v>13520.498</v>
      </c>
      <c r="H616" s="60">
        <f>H323+H365</f>
        <v>2579.3200999999999</v>
      </c>
      <c r="I616" s="60">
        <f>I323+I365</f>
        <v>16099.8181</v>
      </c>
      <c r="J616" s="98"/>
    </row>
    <row r="617" spans="1:10" ht="12.75" x14ac:dyDescent="0.2">
      <c r="C617" s="238">
        <f t="shared" si="281"/>
        <v>0</v>
      </c>
      <c r="D617" s="238">
        <f t="shared" si="282"/>
        <v>1543.09</v>
      </c>
      <c r="E617" s="67" t="s">
        <v>412</v>
      </c>
      <c r="F617" s="68"/>
      <c r="G617" s="60">
        <f>G328+G157</f>
        <v>1534.09</v>
      </c>
      <c r="H617" s="60">
        <f>H328+H157</f>
        <v>9</v>
      </c>
      <c r="I617" s="60">
        <f>I328+I157</f>
        <v>1543.09</v>
      </c>
      <c r="J617" s="98"/>
    </row>
    <row r="618" spans="1:10" s="36" customFormat="1" ht="12.75" x14ac:dyDescent="0.2">
      <c r="A618" s="66"/>
      <c r="C618" s="238">
        <f t="shared" si="281"/>
        <v>0</v>
      </c>
      <c r="D618" s="238">
        <f t="shared" si="282"/>
        <v>27177.497600000002</v>
      </c>
      <c r="E618" s="69" t="s">
        <v>417</v>
      </c>
      <c r="F618" s="70"/>
      <c r="G618" s="59">
        <f>SUM(G615:G617)</f>
        <v>23119.317510000001</v>
      </c>
      <c r="H618" s="59">
        <f t="shared" ref="H618" si="285">SUM(H615:H617)</f>
        <v>4058.1800899999998</v>
      </c>
      <c r="I618" s="59">
        <f t="shared" ref="I618" si="286">SUM(I615:I617)</f>
        <v>27177.497599999999</v>
      </c>
      <c r="J618" s="97"/>
    </row>
    <row r="619" spans="1:10" ht="12.75" x14ac:dyDescent="0.2">
      <c r="C619" s="238">
        <f t="shared" si="281"/>
        <v>0</v>
      </c>
      <c r="D619" s="238">
        <f t="shared" si="282"/>
        <v>0</v>
      </c>
      <c r="E619" s="67"/>
      <c r="F619" s="68"/>
      <c r="G619" s="60"/>
      <c r="H619" s="60"/>
      <c r="I619" s="60"/>
      <c r="J619" s="98"/>
    </row>
    <row r="620" spans="1:10" ht="12.75" x14ac:dyDescent="0.2">
      <c r="C620" s="238">
        <f t="shared" ref="C620:C622" si="287">I620-D620</f>
        <v>0</v>
      </c>
      <c r="D620" s="238">
        <f t="shared" ref="D620:D622" si="288">G620+H620</f>
        <v>0</v>
      </c>
      <c r="E620" s="67"/>
      <c r="F620" s="68"/>
      <c r="G620" s="60"/>
      <c r="H620" s="60"/>
      <c r="I620" s="60"/>
      <c r="J620" s="98"/>
    </row>
    <row r="621" spans="1:10" s="36" customFormat="1" ht="12.75" x14ac:dyDescent="0.2">
      <c r="A621" s="66"/>
      <c r="C621" s="238">
        <f t="shared" si="287"/>
        <v>0</v>
      </c>
      <c r="D621" s="238">
        <f t="shared" si="288"/>
        <v>7502.2080799999985</v>
      </c>
      <c r="E621" s="69" t="s">
        <v>0</v>
      </c>
      <c r="F621" s="64"/>
      <c r="G621" s="59">
        <f>G119+G202+G205+G207+G235+G122+G430+G52+G137+G154+G276</f>
        <v>12962.55</v>
      </c>
      <c r="H621" s="59">
        <f>H119+H202+H205+H207+H235+H122+H430+H52+H137+H154+H276</f>
        <v>-5460.3419200000008</v>
      </c>
      <c r="I621" s="59">
        <f>I119+I202+I205+I207+I235+I122+I430+I52+I137+I154+I276</f>
        <v>7502.2080800000003</v>
      </c>
      <c r="J621" s="97"/>
    </row>
    <row r="622" spans="1:10" ht="12.75" x14ac:dyDescent="0.2">
      <c r="C622" s="238">
        <f t="shared" si="287"/>
        <v>0</v>
      </c>
      <c r="D622" s="238">
        <f t="shared" si="288"/>
        <v>0</v>
      </c>
      <c r="E622" s="68" t="s">
        <v>326</v>
      </c>
      <c r="F622" s="68"/>
      <c r="G622" s="60"/>
      <c r="H622" s="60"/>
      <c r="I622" s="60"/>
      <c r="J622" s="98"/>
    </row>
    <row r="623" spans="1:10" ht="12.75" x14ac:dyDescent="0.2">
      <c r="E623" s="68"/>
      <c r="F623" s="68"/>
      <c r="G623" s="60">
        <f>G588+G595+G599+G606+G608+G621+G622+G614+G618</f>
        <v>667958.89795000001</v>
      </c>
      <c r="H623" s="60">
        <f t="shared" ref="H623" si="289">H588+H595+H599+H606+H608+H621+H622+H614+H618</f>
        <v>32547.128330000007</v>
      </c>
      <c r="I623" s="60">
        <f>I588+I595+I599+I606+I608+I621+I622+I614+I618</f>
        <v>700506.02627999999</v>
      </c>
      <c r="J623" s="98"/>
    </row>
    <row r="624" spans="1:10" ht="12.75" x14ac:dyDescent="0.2">
      <c r="E624" s="68"/>
      <c r="F624" s="68"/>
      <c r="G624" s="60">
        <f t="shared" ref="G624" si="290">G519-G623</f>
        <v>0</v>
      </c>
      <c r="H624" s="60">
        <f t="shared" ref="H624:I624" si="291">H519-H623</f>
        <v>0</v>
      </c>
      <c r="I624" s="60">
        <f t="shared" si="291"/>
        <v>0</v>
      </c>
      <c r="J624" s="98"/>
    </row>
    <row r="626" spans="5:5" x14ac:dyDescent="0.25">
      <c r="E626" s="239" t="s">
        <v>15</v>
      </c>
    </row>
    <row r="627" spans="5:5" x14ac:dyDescent="0.25">
      <c r="E627" s="239" t="s">
        <v>27</v>
      </c>
    </row>
    <row r="628" spans="5:5" x14ac:dyDescent="0.25">
      <c r="E628" s="239" t="s">
        <v>6</v>
      </c>
    </row>
    <row r="629" spans="5:5" x14ac:dyDescent="0.25">
      <c r="E629" s="239" t="s">
        <v>59</v>
      </c>
    </row>
    <row r="630" spans="5:5" x14ac:dyDescent="0.25">
      <c r="E630" s="239" t="s">
        <v>36</v>
      </c>
    </row>
    <row r="631" spans="5:5" x14ac:dyDescent="0.25">
      <c r="E631" s="239" t="s">
        <v>53</v>
      </c>
    </row>
    <row r="632" spans="5:5" x14ac:dyDescent="0.25">
      <c r="E632" s="239" t="s">
        <v>79</v>
      </c>
    </row>
    <row r="633" spans="5:5" x14ac:dyDescent="0.25">
      <c r="E633" s="239" t="s">
        <v>225</v>
      </c>
    </row>
    <row r="634" spans="5:5" x14ac:dyDescent="0.25">
      <c r="E634" s="239"/>
    </row>
    <row r="635" spans="5:5" x14ac:dyDescent="0.25">
      <c r="E635" s="239"/>
    </row>
  </sheetData>
  <mergeCells count="35">
    <mergeCell ref="G2:I2"/>
    <mergeCell ref="G1:I1"/>
    <mergeCell ref="A3:I3"/>
    <mergeCell ref="B5:F5"/>
    <mergeCell ref="G5:G6"/>
    <mergeCell ref="H5:H6"/>
    <mergeCell ref="I5:I6"/>
    <mergeCell ref="A5:A6"/>
    <mergeCell ref="E522:F522"/>
    <mergeCell ref="E531:F531"/>
    <mergeCell ref="E575:F575"/>
    <mergeCell ref="E533:F533"/>
    <mergeCell ref="E538:F538"/>
    <mergeCell ref="E543:F543"/>
    <mergeCell ref="E549:F549"/>
    <mergeCell ref="E556:F556"/>
    <mergeCell ref="E559:F559"/>
    <mergeCell ref="E564:F564"/>
    <mergeCell ref="E547:F547"/>
    <mergeCell ref="E577:F577"/>
    <mergeCell ref="E570:F570"/>
    <mergeCell ref="E573:F573"/>
    <mergeCell ref="C531:D531"/>
    <mergeCell ref="C533:D533"/>
    <mergeCell ref="C538:D538"/>
    <mergeCell ref="C543:D543"/>
    <mergeCell ref="C547:D547"/>
    <mergeCell ref="C577:D577"/>
    <mergeCell ref="C549:D549"/>
    <mergeCell ref="C556:D556"/>
    <mergeCell ref="C559:D559"/>
    <mergeCell ref="C564:D564"/>
    <mergeCell ref="C570:D570"/>
    <mergeCell ref="C573:D573"/>
    <mergeCell ref="C575:D575"/>
  </mergeCells>
  <pageMargins left="0.98425196850393704" right="0" top="0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Normal="100" zoomScaleSheetLayoutView="100" workbookViewId="0">
      <selection activeCell="G1" sqref="G1:J1"/>
    </sheetView>
  </sheetViews>
  <sheetFormatPr defaultRowHeight="15" x14ac:dyDescent="0.25"/>
  <cols>
    <col min="1" max="1" width="38.85546875" style="80" customWidth="1"/>
    <col min="2" max="2" width="12" style="80" customWidth="1"/>
    <col min="3" max="3" width="8.140625" style="80" customWidth="1"/>
    <col min="4" max="4" width="10.5703125" style="80" customWidth="1"/>
    <col min="5" max="5" width="10.7109375" customWidth="1"/>
    <col min="6" max="6" width="11.5703125" bestFit="1" customWidth="1"/>
    <col min="7" max="10" width="11.140625" customWidth="1"/>
    <col min="254" max="254" width="36.85546875" customWidth="1"/>
    <col min="255" max="255" width="12" customWidth="1"/>
    <col min="256" max="256" width="19.7109375" customWidth="1"/>
    <col min="257" max="257" width="38.85546875" customWidth="1"/>
    <col min="510" max="510" width="36.85546875" customWidth="1"/>
    <col min="511" max="511" width="12" customWidth="1"/>
    <col min="512" max="512" width="19.7109375" customWidth="1"/>
    <col min="513" max="513" width="38.85546875" customWidth="1"/>
    <col min="766" max="766" width="36.85546875" customWidth="1"/>
    <col min="767" max="767" width="12" customWidth="1"/>
    <col min="768" max="768" width="19.7109375" customWidth="1"/>
    <col min="769" max="769" width="38.85546875" customWidth="1"/>
    <col min="1022" max="1022" width="36.85546875" customWidth="1"/>
    <col min="1023" max="1023" width="12" customWidth="1"/>
    <col min="1024" max="1024" width="19.7109375" customWidth="1"/>
    <col min="1025" max="1025" width="38.85546875" customWidth="1"/>
    <col min="1278" max="1278" width="36.85546875" customWidth="1"/>
    <col min="1279" max="1279" width="12" customWidth="1"/>
    <col min="1280" max="1280" width="19.7109375" customWidth="1"/>
    <col min="1281" max="1281" width="38.85546875" customWidth="1"/>
    <col min="1534" max="1534" width="36.85546875" customWidth="1"/>
    <col min="1535" max="1535" width="12" customWidth="1"/>
    <col min="1536" max="1536" width="19.7109375" customWidth="1"/>
    <col min="1537" max="1537" width="38.85546875" customWidth="1"/>
    <col min="1790" max="1790" width="36.85546875" customWidth="1"/>
    <col min="1791" max="1791" width="12" customWidth="1"/>
    <col min="1792" max="1792" width="19.7109375" customWidth="1"/>
    <col min="1793" max="1793" width="38.85546875" customWidth="1"/>
    <col min="2046" max="2046" width="36.85546875" customWidth="1"/>
    <col min="2047" max="2047" width="12" customWidth="1"/>
    <col min="2048" max="2048" width="19.7109375" customWidth="1"/>
    <col min="2049" max="2049" width="38.85546875" customWidth="1"/>
    <col min="2302" max="2302" width="36.85546875" customWidth="1"/>
    <col min="2303" max="2303" width="12" customWidth="1"/>
    <col min="2304" max="2304" width="19.7109375" customWidth="1"/>
    <col min="2305" max="2305" width="38.85546875" customWidth="1"/>
    <col min="2558" max="2558" width="36.85546875" customWidth="1"/>
    <col min="2559" max="2559" width="12" customWidth="1"/>
    <col min="2560" max="2560" width="19.7109375" customWidth="1"/>
    <col min="2561" max="2561" width="38.85546875" customWidth="1"/>
    <col min="2814" max="2814" width="36.85546875" customWidth="1"/>
    <col min="2815" max="2815" width="12" customWidth="1"/>
    <col min="2816" max="2816" width="19.7109375" customWidth="1"/>
    <col min="2817" max="2817" width="38.85546875" customWidth="1"/>
    <col min="3070" max="3070" width="36.85546875" customWidth="1"/>
    <col min="3071" max="3071" width="12" customWidth="1"/>
    <col min="3072" max="3072" width="19.7109375" customWidth="1"/>
    <col min="3073" max="3073" width="38.85546875" customWidth="1"/>
    <col min="3326" max="3326" width="36.85546875" customWidth="1"/>
    <col min="3327" max="3327" width="12" customWidth="1"/>
    <col min="3328" max="3328" width="19.7109375" customWidth="1"/>
    <col min="3329" max="3329" width="38.85546875" customWidth="1"/>
    <col min="3582" max="3582" width="36.85546875" customWidth="1"/>
    <col min="3583" max="3583" width="12" customWidth="1"/>
    <col min="3584" max="3584" width="19.7109375" customWidth="1"/>
    <col min="3585" max="3585" width="38.85546875" customWidth="1"/>
    <col min="3838" max="3838" width="36.85546875" customWidth="1"/>
    <col min="3839" max="3839" width="12" customWidth="1"/>
    <col min="3840" max="3840" width="19.7109375" customWidth="1"/>
    <col min="3841" max="3841" width="38.85546875" customWidth="1"/>
    <col min="4094" max="4094" width="36.85546875" customWidth="1"/>
    <col min="4095" max="4095" width="12" customWidth="1"/>
    <col min="4096" max="4096" width="19.7109375" customWidth="1"/>
    <col min="4097" max="4097" width="38.85546875" customWidth="1"/>
    <col min="4350" max="4350" width="36.85546875" customWidth="1"/>
    <col min="4351" max="4351" width="12" customWidth="1"/>
    <col min="4352" max="4352" width="19.7109375" customWidth="1"/>
    <col min="4353" max="4353" width="38.85546875" customWidth="1"/>
    <col min="4606" max="4606" width="36.85546875" customWidth="1"/>
    <col min="4607" max="4607" width="12" customWidth="1"/>
    <col min="4608" max="4608" width="19.7109375" customWidth="1"/>
    <col min="4609" max="4609" width="38.85546875" customWidth="1"/>
    <col min="4862" max="4862" width="36.85546875" customWidth="1"/>
    <col min="4863" max="4863" width="12" customWidth="1"/>
    <col min="4864" max="4864" width="19.7109375" customWidth="1"/>
    <col min="4865" max="4865" width="38.85546875" customWidth="1"/>
    <col min="5118" max="5118" width="36.85546875" customWidth="1"/>
    <col min="5119" max="5119" width="12" customWidth="1"/>
    <col min="5120" max="5120" width="19.7109375" customWidth="1"/>
    <col min="5121" max="5121" width="38.85546875" customWidth="1"/>
    <col min="5374" max="5374" width="36.85546875" customWidth="1"/>
    <col min="5375" max="5375" width="12" customWidth="1"/>
    <col min="5376" max="5376" width="19.7109375" customWidth="1"/>
    <col min="5377" max="5377" width="38.85546875" customWidth="1"/>
    <col min="5630" max="5630" width="36.85546875" customWidth="1"/>
    <col min="5631" max="5631" width="12" customWidth="1"/>
    <col min="5632" max="5632" width="19.7109375" customWidth="1"/>
    <col min="5633" max="5633" width="38.85546875" customWidth="1"/>
    <col min="5886" max="5886" width="36.85546875" customWidth="1"/>
    <col min="5887" max="5887" width="12" customWidth="1"/>
    <col min="5888" max="5888" width="19.7109375" customWidth="1"/>
    <col min="5889" max="5889" width="38.85546875" customWidth="1"/>
    <col min="6142" max="6142" width="36.85546875" customWidth="1"/>
    <col min="6143" max="6143" width="12" customWidth="1"/>
    <col min="6144" max="6144" width="19.7109375" customWidth="1"/>
    <col min="6145" max="6145" width="38.85546875" customWidth="1"/>
    <col min="6398" max="6398" width="36.85546875" customWidth="1"/>
    <col min="6399" max="6399" width="12" customWidth="1"/>
    <col min="6400" max="6400" width="19.7109375" customWidth="1"/>
    <col min="6401" max="6401" width="38.85546875" customWidth="1"/>
    <col min="6654" max="6654" width="36.85546875" customWidth="1"/>
    <col min="6655" max="6655" width="12" customWidth="1"/>
    <col min="6656" max="6656" width="19.7109375" customWidth="1"/>
    <col min="6657" max="6657" width="38.85546875" customWidth="1"/>
    <col min="6910" max="6910" width="36.85546875" customWidth="1"/>
    <col min="6911" max="6911" width="12" customWidth="1"/>
    <col min="6912" max="6912" width="19.7109375" customWidth="1"/>
    <col min="6913" max="6913" width="38.85546875" customWidth="1"/>
    <col min="7166" max="7166" width="36.85546875" customWidth="1"/>
    <col min="7167" max="7167" width="12" customWidth="1"/>
    <col min="7168" max="7168" width="19.7109375" customWidth="1"/>
    <col min="7169" max="7169" width="38.85546875" customWidth="1"/>
    <col min="7422" max="7422" width="36.85546875" customWidth="1"/>
    <col min="7423" max="7423" width="12" customWidth="1"/>
    <col min="7424" max="7424" width="19.7109375" customWidth="1"/>
    <col min="7425" max="7425" width="38.85546875" customWidth="1"/>
    <col min="7678" max="7678" width="36.85546875" customWidth="1"/>
    <col min="7679" max="7679" width="12" customWidth="1"/>
    <col min="7680" max="7680" width="19.7109375" customWidth="1"/>
    <col min="7681" max="7681" width="38.85546875" customWidth="1"/>
    <col min="7934" max="7934" width="36.85546875" customWidth="1"/>
    <col min="7935" max="7935" width="12" customWidth="1"/>
    <col min="7936" max="7936" width="19.7109375" customWidth="1"/>
    <col min="7937" max="7937" width="38.85546875" customWidth="1"/>
    <col min="8190" max="8190" width="36.85546875" customWidth="1"/>
    <col min="8191" max="8191" width="12" customWidth="1"/>
    <col min="8192" max="8192" width="19.7109375" customWidth="1"/>
    <col min="8193" max="8193" width="38.85546875" customWidth="1"/>
    <col min="8446" max="8446" width="36.85546875" customWidth="1"/>
    <col min="8447" max="8447" width="12" customWidth="1"/>
    <col min="8448" max="8448" width="19.7109375" customWidth="1"/>
    <col min="8449" max="8449" width="38.85546875" customWidth="1"/>
    <col min="8702" max="8702" width="36.85546875" customWidth="1"/>
    <col min="8703" max="8703" width="12" customWidth="1"/>
    <col min="8704" max="8704" width="19.7109375" customWidth="1"/>
    <col min="8705" max="8705" width="38.85546875" customWidth="1"/>
    <col min="8958" max="8958" width="36.85546875" customWidth="1"/>
    <col min="8959" max="8959" width="12" customWidth="1"/>
    <col min="8960" max="8960" width="19.7109375" customWidth="1"/>
    <col min="8961" max="8961" width="38.85546875" customWidth="1"/>
    <col min="9214" max="9214" width="36.85546875" customWidth="1"/>
    <col min="9215" max="9215" width="12" customWidth="1"/>
    <col min="9216" max="9216" width="19.7109375" customWidth="1"/>
    <col min="9217" max="9217" width="38.85546875" customWidth="1"/>
    <col min="9470" max="9470" width="36.85546875" customWidth="1"/>
    <col min="9471" max="9471" width="12" customWidth="1"/>
    <col min="9472" max="9472" width="19.7109375" customWidth="1"/>
    <col min="9473" max="9473" width="38.85546875" customWidth="1"/>
    <col min="9726" max="9726" width="36.85546875" customWidth="1"/>
    <col min="9727" max="9727" width="12" customWidth="1"/>
    <col min="9728" max="9728" width="19.7109375" customWidth="1"/>
    <col min="9729" max="9729" width="38.85546875" customWidth="1"/>
    <col min="9982" max="9982" width="36.85546875" customWidth="1"/>
    <col min="9983" max="9983" width="12" customWidth="1"/>
    <col min="9984" max="9984" width="19.7109375" customWidth="1"/>
    <col min="9985" max="9985" width="38.85546875" customWidth="1"/>
    <col min="10238" max="10238" width="36.85546875" customWidth="1"/>
    <col min="10239" max="10239" width="12" customWidth="1"/>
    <col min="10240" max="10240" width="19.7109375" customWidth="1"/>
    <col min="10241" max="10241" width="38.85546875" customWidth="1"/>
    <col min="10494" max="10494" width="36.85546875" customWidth="1"/>
    <col min="10495" max="10495" width="12" customWidth="1"/>
    <col min="10496" max="10496" width="19.7109375" customWidth="1"/>
    <col min="10497" max="10497" width="38.85546875" customWidth="1"/>
    <col min="10750" max="10750" width="36.85546875" customWidth="1"/>
    <col min="10751" max="10751" width="12" customWidth="1"/>
    <col min="10752" max="10752" width="19.7109375" customWidth="1"/>
    <col min="10753" max="10753" width="38.85546875" customWidth="1"/>
    <col min="11006" max="11006" width="36.85546875" customWidth="1"/>
    <col min="11007" max="11007" width="12" customWidth="1"/>
    <col min="11008" max="11008" width="19.7109375" customWidth="1"/>
    <col min="11009" max="11009" width="38.85546875" customWidth="1"/>
    <col min="11262" max="11262" width="36.85546875" customWidth="1"/>
    <col min="11263" max="11263" width="12" customWidth="1"/>
    <col min="11264" max="11264" width="19.7109375" customWidth="1"/>
    <col min="11265" max="11265" width="38.85546875" customWidth="1"/>
    <col min="11518" max="11518" width="36.85546875" customWidth="1"/>
    <col min="11519" max="11519" width="12" customWidth="1"/>
    <col min="11520" max="11520" width="19.7109375" customWidth="1"/>
    <col min="11521" max="11521" width="38.85546875" customWidth="1"/>
    <col min="11774" max="11774" width="36.85546875" customWidth="1"/>
    <col min="11775" max="11775" width="12" customWidth="1"/>
    <col min="11776" max="11776" width="19.7109375" customWidth="1"/>
    <col min="11777" max="11777" width="38.85546875" customWidth="1"/>
    <col min="12030" max="12030" width="36.85546875" customWidth="1"/>
    <col min="12031" max="12031" width="12" customWidth="1"/>
    <col min="12032" max="12032" width="19.7109375" customWidth="1"/>
    <col min="12033" max="12033" width="38.85546875" customWidth="1"/>
    <col min="12286" max="12286" width="36.85546875" customWidth="1"/>
    <col min="12287" max="12287" width="12" customWidth="1"/>
    <col min="12288" max="12288" width="19.7109375" customWidth="1"/>
    <col min="12289" max="12289" width="38.85546875" customWidth="1"/>
    <col min="12542" max="12542" width="36.85546875" customWidth="1"/>
    <col min="12543" max="12543" width="12" customWidth="1"/>
    <col min="12544" max="12544" width="19.7109375" customWidth="1"/>
    <col min="12545" max="12545" width="38.85546875" customWidth="1"/>
    <col min="12798" max="12798" width="36.85546875" customWidth="1"/>
    <col min="12799" max="12799" width="12" customWidth="1"/>
    <col min="12800" max="12800" width="19.7109375" customWidth="1"/>
    <col min="12801" max="12801" width="38.85546875" customWidth="1"/>
    <col min="13054" max="13054" width="36.85546875" customWidth="1"/>
    <col min="13055" max="13055" width="12" customWidth="1"/>
    <col min="13056" max="13056" width="19.7109375" customWidth="1"/>
    <col min="13057" max="13057" width="38.85546875" customWidth="1"/>
    <col min="13310" max="13310" width="36.85546875" customWidth="1"/>
    <col min="13311" max="13311" width="12" customWidth="1"/>
    <col min="13312" max="13312" width="19.7109375" customWidth="1"/>
    <col min="13313" max="13313" width="38.85546875" customWidth="1"/>
    <col min="13566" max="13566" width="36.85546875" customWidth="1"/>
    <col min="13567" max="13567" width="12" customWidth="1"/>
    <col min="13568" max="13568" width="19.7109375" customWidth="1"/>
    <col min="13569" max="13569" width="38.85546875" customWidth="1"/>
    <col min="13822" max="13822" width="36.85546875" customWidth="1"/>
    <col min="13823" max="13823" width="12" customWidth="1"/>
    <col min="13824" max="13824" width="19.7109375" customWidth="1"/>
    <col min="13825" max="13825" width="38.85546875" customWidth="1"/>
    <col min="14078" max="14078" width="36.85546875" customWidth="1"/>
    <col min="14079" max="14079" width="12" customWidth="1"/>
    <col min="14080" max="14080" width="19.7109375" customWidth="1"/>
    <col min="14081" max="14081" width="38.85546875" customWidth="1"/>
    <col min="14334" max="14334" width="36.85546875" customWidth="1"/>
    <col min="14335" max="14335" width="12" customWidth="1"/>
    <col min="14336" max="14336" width="19.7109375" customWidth="1"/>
    <col min="14337" max="14337" width="38.85546875" customWidth="1"/>
    <col min="14590" max="14590" width="36.85546875" customWidth="1"/>
    <col min="14591" max="14591" width="12" customWidth="1"/>
    <col min="14592" max="14592" width="19.7109375" customWidth="1"/>
    <col min="14593" max="14593" width="38.85546875" customWidth="1"/>
    <col min="14846" max="14846" width="36.85546875" customWidth="1"/>
    <col min="14847" max="14847" width="12" customWidth="1"/>
    <col min="14848" max="14848" width="19.7109375" customWidth="1"/>
    <col min="14849" max="14849" width="38.85546875" customWidth="1"/>
    <col min="15102" max="15102" width="36.85546875" customWidth="1"/>
    <col min="15103" max="15103" width="12" customWidth="1"/>
    <col min="15104" max="15104" width="19.7109375" customWidth="1"/>
    <col min="15105" max="15105" width="38.85546875" customWidth="1"/>
    <col min="15358" max="15358" width="36.85546875" customWidth="1"/>
    <col min="15359" max="15359" width="12" customWidth="1"/>
    <col min="15360" max="15360" width="19.7109375" customWidth="1"/>
    <col min="15361" max="15361" width="38.85546875" customWidth="1"/>
    <col min="15614" max="15614" width="36.85546875" customWidth="1"/>
    <col min="15615" max="15615" width="12" customWidth="1"/>
    <col min="15616" max="15616" width="19.7109375" customWidth="1"/>
    <col min="15617" max="15617" width="38.85546875" customWidth="1"/>
    <col min="15870" max="15870" width="36.85546875" customWidth="1"/>
    <col min="15871" max="15871" width="12" customWidth="1"/>
    <col min="15872" max="15872" width="19.7109375" customWidth="1"/>
    <col min="15873" max="15873" width="38.85546875" customWidth="1"/>
    <col min="16126" max="16126" width="36.85546875" customWidth="1"/>
    <col min="16127" max="16127" width="12" customWidth="1"/>
    <col min="16128" max="16128" width="19.7109375" customWidth="1"/>
    <col min="16129" max="16129" width="38.85546875" customWidth="1"/>
  </cols>
  <sheetData>
    <row r="1" spans="1:11" ht="60" customHeight="1" x14ac:dyDescent="0.25">
      <c r="C1" s="81"/>
      <c r="D1" s="82"/>
      <c r="G1" s="348" t="s">
        <v>663</v>
      </c>
      <c r="H1" s="305"/>
      <c r="I1" s="305"/>
      <c r="J1" s="305"/>
      <c r="K1" s="242"/>
    </row>
    <row r="2" spans="1:11" x14ac:dyDescent="0.25">
      <c r="C2" s="83"/>
      <c r="D2" s="83"/>
    </row>
    <row r="3" spans="1:11" s="84" customFormat="1" ht="45.75" customHeight="1" x14ac:dyDescent="0.25">
      <c r="A3" s="345" t="s">
        <v>589</v>
      </c>
      <c r="B3" s="345"/>
      <c r="C3" s="345"/>
      <c r="D3" s="345"/>
      <c r="E3" s="346"/>
      <c r="F3" s="346"/>
      <c r="G3" s="346"/>
      <c r="H3" s="310"/>
      <c r="I3" s="310"/>
      <c r="J3" s="310"/>
    </row>
    <row r="4" spans="1:11" s="84" customFormat="1" ht="47.25" customHeight="1" x14ac:dyDescent="0.25">
      <c r="A4" s="347"/>
      <c r="B4" s="347"/>
      <c r="C4" s="347"/>
      <c r="D4" s="347"/>
      <c r="E4" s="346"/>
      <c r="F4" s="346"/>
      <c r="G4" s="346"/>
      <c r="H4" s="310"/>
      <c r="I4" s="310"/>
      <c r="J4" s="310"/>
    </row>
    <row r="5" spans="1:11" ht="15.75" x14ac:dyDescent="0.25">
      <c r="D5" s="85"/>
      <c r="I5" s="352" t="s">
        <v>352</v>
      </c>
      <c r="J5" s="353"/>
    </row>
    <row r="6" spans="1:11" s="84" customFormat="1" ht="18" customHeight="1" x14ac:dyDescent="0.25">
      <c r="A6" s="354" t="s">
        <v>353</v>
      </c>
      <c r="B6" s="349" t="s">
        <v>354</v>
      </c>
      <c r="C6" s="350"/>
      <c r="D6" s="351"/>
      <c r="E6" s="349" t="s">
        <v>250</v>
      </c>
      <c r="F6" s="350"/>
      <c r="G6" s="351"/>
      <c r="H6" s="349" t="s">
        <v>599</v>
      </c>
      <c r="I6" s="350"/>
      <c r="J6" s="351"/>
    </row>
    <row r="7" spans="1:11" s="84" customFormat="1" ht="102.75" customHeight="1" x14ac:dyDescent="0.25">
      <c r="A7" s="354"/>
      <c r="B7" s="259" t="s">
        <v>355</v>
      </c>
      <c r="C7" s="259" t="s">
        <v>356</v>
      </c>
      <c r="D7" s="260" t="s">
        <v>357</v>
      </c>
      <c r="E7" s="259" t="s">
        <v>355</v>
      </c>
      <c r="F7" s="259" t="s">
        <v>356</v>
      </c>
      <c r="G7" s="260" t="s">
        <v>357</v>
      </c>
      <c r="H7" s="259" t="s">
        <v>355</v>
      </c>
      <c r="I7" s="259" t="s">
        <v>356</v>
      </c>
      <c r="J7" s="260" t="s">
        <v>357</v>
      </c>
    </row>
    <row r="8" spans="1:11" s="84" customFormat="1" ht="39" hidden="1" x14ac:dyDescent="0.25">
      <c r="A8" s="1" t="s">
        <v>358</v>
      </c>
      <c r="B8" s="86">
        <f>B9</f>
        <v>0</v>
      </c>
      <c r="C8" s="86">
        <f>C9</f>
        <v>0</v>
      </c>
      <c r="D8" s="86">
        <f>D9</f>
        <v>0</v>
      </c>
      <c r="E8" s="86">
        <f t="shared" ref="E8:J8" si="0">E9</f>
        <v>0</v>
      </c>
      <c r="F8" s="86">
        <f t="shared" si="0"/>
        <v>0</v>
      </c>
      <c r="G8" s="86">
        <f t="shared" si="0"/>
        <v>0</v>
      </c>
      <c r="H8" s="86">
        <f t="shared" si="0"/>
        <v>0</v>
      </c>
      <c r="I8" s="86">
        <f t="shared" si="0"/>
        <v>0</v>
      </c>
      <c r="J8" s="86">
        <f t="shared" si="0"/>
        <v>0</v>
      </c>
    </row>
    <row r="9" spans="1:11" s="84" customFormat="1" ht="26.25" hidden="1" x14ac:dyDescent="0.25">
      <c r="A9" s="1" t="s">
        <v>359</v>
      </c>
      <c r="B9" s="86">
        <f t="shared" ref="B9:J9" si="1">B10+B12+B13+B14+B11</f>
        <v>0</v>
      </c>
      <c r="C9" s="86">
        <f t="shared" si="1"/>
        <v>0</v>
      </c>
      <c r="D9" s="86">
        <f t="shared" si="1"/>
        <v>0</v>
      </c>
      <c r="E9" s="86">
        <f t="shared" si="1"/>
        <v>0</v>
      </c>
      <c r="F9" s="86">
        <f t="shared" si="1"/>
        <v>0</v>
      </c>
      <c r="G9" s="86">
        <f t="shared" si="1"/>
        <v>0</v>
      </c>
      <c r="H9" s="86">
        <f t="shared" si="1"/>
        <v>0</v>
      </c>
      <c r="I9" s="86">
        <f t="shared" si="1"/>
        <v>0</v>
      </c>
      <c r="J9" s="86">
        <f t="shared" si="1"/>
        <v>0</v>
      </c>
    </row>
    <row r="10" spans="1:11" s="84" customFormat="1" ht="25.5" hidden="1" x14ac:dyDescent="0.25">
      <c r="A10" s="88" t="s">
        <v>360</v>
      </c>
      <c r="B10" s="86">
        <f>SUM(C10:D10)</f>
        <v>0</v>
      </c>
      <c r="C10" s="86"/>
      <c r="D10" s="86"/>
      <c r="E10" s="86">
        <f>SUM(F10:G10)</f>
        <v>0</v>
      </c>
      <c r="F10" s="86"/>
      <c r="G10" s="86"/>
      <c r="H10" s="86">
        <f>SUM(I10:J10)</f>
        <v>0</v>
      </c>
      <c r="I10" s="86"/>
      <c r="J10" s="86"/>
    </row>
    <row r="11" spans="1:11" s="84" customFormat="1" ht="25.5" hidden="1" x14ac:dyDescent="0.25">
      <c r="A11" s="88" t="s">
        <v>361</v>
      </c>
      <c r="B11" s="86">
        <f>SUM(C11:D11)</f>
        <v>0</v>
      </c>
      <c r="C11" s="86"/>
      <c r="D11" s="86"/>
      <c r="E11" s="86">
        <f>SUM(F11:G11)</f>
        <v>0</v>
      </c>
      <c r="F11" s="86"/>
      <c r="G11" s="86"/>
      <c r="H11" s="86">
        <f>SUM(I11:J11)</f>
        <v>0</v>
      </c>
      <c r="I11" s="86"/>
      <c r="J11" s="86"/>
    </row>
    <row r="12" spans="1:11" s="84" customFormat="1" ht="38.25" hidden="1" x14ac:dyDescent="0.25">
      <c r="A12" s="89" t="s">
        <v>362</v>
      </c>
      <c r="B12" s="86">
        <f>SUM(C12:D12)</f>
        <v>0</v>
      </c>
      <c r="C12" s="86"/>
      <c r="D12" s="86"/>
      <c r="E12" s="86">
        <f>SUM(F12:G12)</f>
        <v>0</v>
      </c>
      <c r="F12" s="86"/>
      <c r="G12" s="86"/>
      <c r="H12" s="86">
        <f>SUM(I12:J12)</f>
        <v>0</v>
      </c>
      <c r="I12" s="86"/>
      <c r="J12" s="86"/>
    </row>
    <row r="13" spans="1:11" s="84" customFormat="1" ht="63.75" hidden="1" x14ac:dyDescent="0.25">
      <c r="A13" s="89" t="s">
        <v>363</v>
      </c>
      <c r="B13" s="86">
        <f>SUM(C13:D13)</f>
        <v>0</v>
      </c>
      <c r="C13" s="86"/>
      <c r="D13" s="86"/>
      <c r="E13" s="86">
        <f>SUM(F13:G13)</f>
        <v>0</v>
      </c>
      <c r="F13" s="86"/>
      <c r="G13" s="86"/>
      <c r="H13" s="86">
        <f>SUM(I13:J13)</f>
        <v>0</v>
      </c>
      <c r="I13" s="86"/>
      <c r="J13" s="86"/>
    </row>
    <row r="14" spans="1:11" s="84" customFormat="1" ht="38.25" hidden="1" x14ac:dyDescent="0.25">
      <c r="A14" s="89" t="s">
        <v>364</v>
      </c>
      <c r="B14" s="86">
        <f>SUM(C14:D14)</f>
        <v>0</v>
      </c>
      <c r="C14" s="86"/>
      <c r="D14" s="86"/>
      <c r="E14" s="86">
        <f>SUM(F14:G14)</f>
        <v>0</v>
      </c>
      <c r="F14" s="86"/>
      <c r="G14" s="86"/>
      <c r="H14" s="86">
        <f>SUM(I14:J14)</f>
        <v>0</v>
      </c>
      <c r="I14" s="86"/>
      <c r="J14" s="86"/>
    </row>
    <row r="15" spans="1:11" s="84" customFormat="1" ht="51.75" hidden="1" x14ac:dyDescent="0.25">
      <c r="A15" s="1" t="s">
        <v>365</v>
      </c>
      <c r="B15" s="87">
        <f t="shared" ref="B15:D15" si="2">B16</f>
        <v>0</v>
      </c>
      <c r="C15" s="87">
        <f t="shared" si="2"/>
        <v>0</v>
      </c>
      <c r="D15" s="87">
        <f t="shared" si="2"/>
        <v>0</v>
      </c>
      <c r="E15" s="87">
        <f t="shared" ref="E15:J15" si="3">E16</f>
        <v>0</v>
      </c>
      <c r="F15" s="87">
        <f t="shared" si="3"/>
        <v>0</v>
      </c>
      <c r="G15" s="87">
        <f t="shared" si="3"/>
        <v>0</v>
      </c>
      <c r="H15" s="87">
        <f t="shared" si="3"/>
        <v>0</v>
      </c>
      <c r="I15" s="87">
        <f t="shared" si="3"/>
        <v>0</v>
      </c>
      <c r="J15" s="87">
        <f t="shared" si="3"/>
        <v>0</v>
      </c>
    </row>
    <row r="16" spans="1:11" s="84" customFormat="1" ht="26.25" hidden="1" x14ac:dyDescent="0.25">
      <c r="A16" s="1" t="s">
        <v>366</v>
      </c>
      <c r="B16" s="86">
        <f t="shared" ref="B16:J16" si="4">B17+B18</f>
        <v>0</v>
      </c>
      <c r="C16" s="86">
        <f t="shared" si="4"/>
        <v>0</v>
      </c>
      <c r="D16" s="86">
        <f t="shared" si="4"/>
        <v>0</v>
      </c>
      <c r="E16" s="86">
        <f t="shared" si="4"/>
        <v>0</v>
      </c>
      <c r="F16" s="86">
        <f t="shared" si="4"/>
        <v>0</v>
      </c>
      <c r="G16" s="86">
        <f t="shared" si="4"/>
        <v>0</v>
      </c>
      <c r="H16" s="86">
        <f t="shared" si="4"/>
        <v>0</v>
      </c>
      <c r="I16" s="86">
        <f t="shared" si="4"/>
        <v>0</v>
      </c>
      <c r="J16" s="86">
        <f t="shared" si="4"/>
        <v>0</v>
      </c>
    </row>
    <row r="17" spans="1:10" ht="30.75" hidden="1" customHeight="1" x14ac:dyDescent="0.25">
      <c r="A17" s="90" t="s">
        <v>367</v>
      </c>
      <c r="B17" s="91">
        <f>SUM(C17:D17)</f>
        <v>0</v>
      </c>
      <c r="C17" s="91"/>
      <c r="D17" s="92"/>
      <c r="E17" s="91">
        <f>SUM(F17:G17)</f>
        <v>0</v>
      </c>
      <c r="F17" s="91"/>
      <c r="G17" s="92"/>
      <c r="H17" s="91">
        <f>SUM(I17:J17)</f>
        <v>0</v>
      </c>
      <c r="I17" s="91"/>
      <c r="J17" s="92"/>
    </row>
    <row r="18" spans="1:10" ht="30.75" hidden="1" customHeight="1" x14ac:dyDescent="0.25">
      <c r="A18" s="89" t="s">
        <v>368</v>
      </c>
      <c r="B18" s="91">
        <f>SUM(C18:D18)</f>
        <v>0</v>
      </c>
      <c r="C18" s="91"/>
      <c r="D18" s="92"/>
      <c r="E18" s="91">
        <f>SUM(F18:G18)</f>
        <v>0</v>
      </c>
      <c r="F18" s="91"/>
      <c r="G18" s="92"/>
      <c r="H18" s="91">
        <f>SUM(I18:J18)</f>
        <v>0</v>
      </c>
      <c r="I18" s="91"/>
      <c r="J18" s="92"/>
    </row>
    <row r="19" spans="1:10" ht="24" hidden="1" customHeight="1" x14ac:dyDescent="0.25">
      <c r="A19" s="93" t="s">
        <v>369</v>
      </c>
      <c r="B19" s="94" t="e">
        <f>B21+#REF!</f>
        <v>#REF!</v>
      </c>
      <c r="C19" s="94" t="e">
        <f>C21+#REF!</f>
        <v>#REF!</v>
      </c>
      <c r="D19" s="94" t="e">
        <f>D21+#REF!</f>
        <v>#REF!</v>
      </c>
      <c r="E19" s="94" t="e">
        <f>E21+#REF!</f>
        <v>#REF!</v>
      </c>
      <c r="F19" s="94" t="e">
        <f>F21+#REF!</f>
        <v>#REF!</v>
      </c>
      <c r="G19" s="94" t="e">
        <f>G21+#REF!</f>
        <v>#REF!</v>
      </c>
      <c r="H19" s="94" t="e">
        <f>H21+#REF!</f>
        <v>#REF!</v>
      </c>
      <c r="I19" s="94" t="e">
        <f>I21+#REF!</f>
        <v>#REF!</v>
      </c>
      <c r="J19" s="94" t="e">
        <f>J21+#REF!</f>
        <v>#REF!</v>
      </c>
    </row>
    <row r="20" spans="1:10" s="212" customFormat="1" ht="53.25" customHeight="1" x14ac:dyDescent="0.25">
      <c r="A20" s="256" t="s">
        <v>230</v>
      </c>
      <c r="B20" s="257">
        <f t="shared" ref="B20:D21" si="5">B21</f>
        <v>7518.78</v>
      </c>
      <c r="C20" s="257">
        <f t="shared" si="5"/>
        <v>7368.4</v>
      </c>
      <c r="D20" s="257">
        <f t="shared" si="5"/>
        <v>150.38</v>
      </c>
      <c r="E20" s="257">
        <f t="shared" ref="E20:J21" si="6">E21</f>
        <v>2.1049999999999999E-2</v>
      </c>
      <c r="F20" s="257">
        <f t="shared" si="6"/>
        <v>2.1049999999999999E-2</v>
      </c>
      <c r="G20" s="257">
        <f t="shared" si="6"/>
        <v>0</v>
      </c>
      <c r="H20" s="257">
        <f t="shared" si="6"/>
        <v>7518.80105</v>
      </c>
      <c r="I20" s="257">
        <f t="shared" si="6"/>
        <v>7368.4210499999999</v>
      </c>
      <c r="J20" s="257">
        <f t="shared" si="6"/>
        <v>150.38</v>
      </c>
    </row>
    <row r="21" spans="1:10" s="258" customFormat="1" ht="36" customHeight="1" x14ac:dyDescent="0.25">
      <c r="A21" s="256" t="s">
        <v>370</v>
      </c>
      <c r="B21" s="257">
        <f>SUM(C21:D21)</f>
        <v>7518.78</v>
      </c>
      <c r="C21" s="257">
        <f>C22</f>
        <v>7368.4</v>
      </c>
      <c r="D21" s="257">
        <f t="shared" si="5"/>
        <v>150.38</v>
      </c>
      <c r="E21" s="257">
        <f t="shared" si="6"/>
        <v>2.1049999999999999E-2</v>
      </c>
      <c r="F21" s="257">
        <f t="shared" si="6"/>
        <v>2.1049999999999999E-2</v>
      </c>
      <c r="G21" s="257">
        <f t="shared" si="6"/>
        <v>0</v>
      </c>
      <c r="H21" s="257">
        <f t="shared" si="6"/>
        <v>7518.80105</v>
      </c>
      <c r="I21" s="257">
        <f t="shared" si="6"/>
        <v>7368.4210499999999</v>
      </c>
      <c r="J21" s="257">
        <f t="shared" si="6"/>
        <v>150.38</v>
      </c>
    </row>
    <row r="22" spans="1:10" s="84" customFormat="1" ht="25.5" x14ac:dyDescent="0.25">
      <c r="A22" s="95" t="s">
        <v>360</v>
      </c>
      <c r="B22" s="86">
        <f>SUM(C22:D22)</f>
        <v>7518.78</v>
      </c>
      <c r="C22" s="86">
        <v>7368.4</v>
      </c>
      <c r="D22" s="86">
        <v>150.38</v>
      </c>
      <c r="E22" s="86">
        <f t="shared" ref="E22" si="7">SUM(F22:G22)</f>
        <v>2.1049999999999999E-2</v>
      </c>
      <c r="F22" s="86">
        <v>2.1049999999999999E-2</v>
      </c>
      <c r="G22" s="86"/>
      <c r="H22" s="86">
        <f t="shared" ref="H22" si="8">SUM(I22:J22)</f>
        <v>7518.80105</v>
      </c>
      <c r="I22" s="86">
        <f>C22+F22</f>
        <v>7368.4210499999999</v>
      </c>
      <c r="J22" s="86">
        <f>D22+G22</f>
        <v>150.38</v>
      </c>
    </row>
    <row r="23" spans="1:10" s="212" customFormat="1" ht="51" x14ac:dyDescent="0.25">
      <c r="A23" s="255" t="s">
        <v>365</v>
      </c>
      <c r="B23" s="253">
        <f>B24</f>
        <v>1105.3399999999999</v>
      </c>
      <c r="C23" s="253">
        <f t="shared" ref="C23:J23" si="9">C24</f>
        <v>0</v>
      </c>
      <c r="D23" s="253">
        <f t="shared" si="9"/>
        <v>1105.3399999999999</v>
      </c>
      <c r="E23" s="253">
        <f t="shared" si="9"/>
        <v>250</v>
      </c>
      <c r="F23" s="253">
        <f t="shared" si="9"/>
        <v>0</v>
      </c>
      <c r="G23" s="253">
        <f t="shared" si="9"/>
        <v>250</v>
      </c>
      <c r="H23" s="253">
        <f t="shared" si="9"/>
        <v>1355.34</v>
      </c>
      <c r="I23" s="253">
        <f t="shared" si="9"/>
        <v>0</v>
      </c>
      <c r="J23" s="253">
        <f t="shared" si="9"/>
        <v>1355.34</v>
      </c>
    </row>
    <row r="24" spans="1:10" s="212" customFormat="1" ht="24.75" x14ac:dyDescent="0.25">
      <c r="A24" s="54" t="s">
        <v>586</v>
      </c>
      <c r="B24" s="253">
        <f>SUM(B25:B26)</f>
        <v>1105.3399999999999</v>
      </c>
      <c r="C24" s="253">
        <f t="shared" ref="C24:J24" si="10">SUM(C25:C26)</f>
        <v>0</v>
      </c>
      <c r="D24" s="253">
        <f t="shared" si="10"/>
        <v>1105.3399999999999</v>
      </c>
      <c r="E24" s="253">
        <f t="shared" si="10"/>
        <v>250</v>
      </c>
      <c r="F24" s="253">
        <f t="shared" si="10"/>
        <v>0</v>
      </c>
      <c r="G24" s="253">
        <f t="shared" si="10"/>
        <v>250</v>
      </c>
      <c r="H24" s="253">
        <f t="shared" si="10"/>
        <v>1355.34</v>
      </c>
      <c r="I24" s="253">
        <f t="shared" si="10"/>
        <v>0</v>
      </c>
      <c r="J24" s="253">
        <f t="shared" si="10"/>
        <v>1355.34</v>
      </c>
    </row>
    <row r="25" spans="1:10" ht="25.5" x14ac:dyDescent="0.25">
      <c r="A25" s="95" t="s">
        <v>587</v>
      </c>
      <c r="B25" s="96">
        <f>SUM(C25:D25)</f>
        <v>699.55</v>
      </c>
      <c r="C25" s="96"/>
      <c r="D25" s="279">
        <v>699.55</v>
      </c>
      <c r="E25" s="96">
        <f>SUM(F25:G25)</f>
        <v>0</v>
      </c>
      <c r="F25" s="96"/>
      <c r="G25" s="279"/>
      <c r="H25" s="279">
        <f>SUM(I25:J25)</f>
        <v>699.55</v>
      </c>
      <c r="I25" s="279"/>
      <c r="J25" s="279">
        <f>D25+G25</f>
        <v>699.55</v>
      </c>
    </row>
    <row r="26" spans="1:10" ht="44.25" customHeight="1" x14ac:dyDescent="0.25">
      <c r="A26" s="95" t="s">
        <v>588</v>
      </c>
      <c r="B26" s="96">
        <f>SUM(C26:D26)</f>
        <v>405.79</v>
      </c>
      <c r="C26" s="96"/>
      <c r="D26" s="279">
        <v>405.79</v>
      </c>
      <c r="E26" s="96">
        <f>SUM(F26:G26)</f>
        <v>250</v>
      </c>
      <c r="F26" s="96"/>
      <c r="G26" s="279">
        <v>250</v>
      </c>
      <c r="H26" s="279">
        <f>SUM(I26:J26)</f>
        <v>655.79</v>
      </c>
      <c r="I26" s="279"/>
      <c r="J26" s="279">
        <f>D26+G26</f>
        <v>655.79</v>
      </c>
    </row>
    <row r="27" spans="1:10" s="212" customFormat="1" ht="37.5" customHeight="1" x14ac:dyDescent="0.25">
      <c r="A27" s="54" t="s">
        <v>590</v>
      </c>
      <c r="B27" s="253">
        <f>B28</f>
        <v>96128.746419999996</v>
      </c>
      <c r="C27" s="253">
        <f t="shared" ref="C27:J27" si="11">C28</f>
        <v>92154.269419999997</v>
      </c>
      <c r="D27" s="253">
        <f t="shared" si="11"/>
        <v>3974.4769999999999</v>
      </c>
      <c r="E27" s="253">
        <f t="shared" si="11"/>
        <v>27307.20074</v>
      </c>
      <c r="F27" s="253">
        <f t="shared" si="11"/>
        <v>30000</v>
      </c>
      <c r="G27" s="253">
        <f t="shared" si="11"/>
        <v>-2692.7992600000002</v>
      </c>
      <c r="H27" s="253">
        <f t="shared" si="11"/>
        <v>123435.94716</v>
      </c>
      <c r="I27" s="253">
        <f t="shared" si="11"/>
        <v>122154.26942</v>
      </c>
      <c r="J27" s="253">
        <f t="shared" si="11"/>
        <v>1281.6777399999999</v>
      </c>
    </row>
    <row r="28" spans="1:10" s="212" customFormat="1" ht="24.75" x14ac:dyDescent="0.25">
      <c r="A28" s="254" t="s">
        <v>591</v>
      </c>
      <c r="B28" s="253">
        <f>B29+B30</f>
        <v>96128.746419999996</v>
      </c>
      <c r="C28" s="253">
        <f t="shared" ref="C28:H28" si="12">C29+C30</f>
        <v>92154.269419999997</v>
      </c>
      <c r="D28" s="253">
        <f>D29+D30</f>
        <v>3974.4769999999999</v>
      </c>
      <c r="E28" s="253">
        <f t="shared" si="12"/>
        <v>27307.20074</v>
      </c>
      <c r="F28" s="253">
        <f>F29+F30</f>
        <v>30000</v>
      </c>
      <c r="G28" s="253">
        <f>G29+G30</f>
        <v>-2692.7992600000002</v>
      </c>
      <c r="H28" s="253">
        <f t="shared" si="12"/>
        <v>123435.94716</v>
      </c>
      <c r="I28" s="253">
        <f>I29+I30</f>
        <v>122154.26942</v>
      </c>
      <c r="J28" s="253">
        <f>J29+J30</f>
        <v>1281.6777399999999</v>
      </c>
    </row>
    <row r="29" spans="1:10" ht="38.25" x14ac:dyDescent="0.25">
      <c r="A29" s="95" t="s">
        <v>592</v>
      </c>
      <c r="B29" s="261">
        <f>SUM(C29:D29)</f>
        <v>91496.676999999996</v>
      </c>
      <c r="C29" s="261">
        <v>87522.2</v>
      </c>
      <c r="D29" s="86">
        <f>1786.167+2188.31</f>
        <v>3974.4769999999999</v>
      </c>
      <c r="E29" s="261">
        <f>SUM(F29:G29)</f>
        <v>-3090.36184</v>
      </c>
      <c r="F29" s="261"/>
      <c r="G29" s="86">
        <f>-2188.31267-902.10417+0.055</f>
        <v>-3090.36184</v>
      </c>
      <c r="H29" s="86">
        <f>SUM(I29:J29)</f>
        <v>88406.315159999998</v>
      </c>
      <c r="I29" s="86">
        <f>C29+F29</f>
        <v>87522.2</v>
      </c>
      <c r="J29" s="86">
        <f>D29+G29</f>
        <v>884.11515999999983</v>
      </c>
    </row>
    <row r="30" spans="1:10" ht="38.25" x14ac:dyDescent="0.25">
      <c r="A30" s="89" t="s">
        <v>362</v>
      </c>
      <c r="B30" s="261">
        <f>SUM(C30:D30)</f>
        <v>4632.0694199999998</v>
      </c>
      <c r="C30" s="261">
        <v>4632.0694199999998</v>
      </c>
      <c r="D30" s="86"/>
      <c r="E30" s="261">
        <f>SUM(F30:G30)</f>
        <v>30397.562580000002</v>
      </c>
      <c r="F30" s="86">
        <v>30000</v>
      </c>
      <c r="G30" s="86">
        <f>94.53258+303.03</f>
        <v>397.56257999999997</v>
      </c>
      <c r="H30" s="86">
        <f>SUM(I30:J30)</f>
        <v>35029.631999999998</v>
      </c>
      <c r="I30" s="86">
        <f>C30+F30</f>
        <v>34632.06942</v>
      </c>
      <c r="J30" s="86">
        <f>D30+G30</f>
        <v>397.56257999999997</v>
      </c>
    </row>
    <row r="31" spans="1:10" ht="24" customHeight="1" x14ac:dyDescent="0.25">
      <c r="A31" s="93" t="s">
        <v>369</v>
      </c>
      <c r="B31" s="94">
        <f>B20+B23+B27</f>
        <v>104752.86641999999</v>
      </c>
      <c r="C31" s="94">
        <f t="shared" ref="C31:J31" si="13">C20+C23+C27</f>
        <v>99522.669419999991</v>
      </c>
      <c r="D31" s="94">
        <f t="shared" si="13"/>
        <v>5230.1970000000001</v>
      </c>
      <c r="E31" s="94">
        <f t="shared" si="13"/>
        <v>27557.22179</v>
      </c>
      <c r="F31" s="94">
        <f t="shared" si="13"/>
        <v>30000.021049999999</v>
      </c>
      <c r="G31" s="94">
        <f t="shared" si="13"/>
        <v>-2442.7992600000002</v>
      </c>
      <c r="H31" s="94">
        <f t="shared" si="13"/>
        <v>132310.08820999999</v>
      </c>
      <c r="I31" s="94">
        <f t="shared" si="13"/>
        <v>129522.69047</v>
      </c>
      <c r="J31" s="94">
        <f t="shared" si="13"/>
        <v>2787.3977399999994</v>
      </c>
    </row>
  </sheetData>
  <mergeCells count="7">
    <mergeCell ref="A3:J4"/>
    <mergeCell ref="G1:J1"/>
    <mergeCell ref="H6:J6"/>
    <mergeCell ref="I5:J5"/>
    <mergeCell ref="A6:A7"/>
    <mergeCell ref="B6:D6"/>
    <mergeCell ref="E6:G6"/>
  </mergeCells>
  <pageMargins left="1.1811023622047245" right="0" top="0.74803149606299213" bottom="0.55118110236220474" header="0" footer="0"/>
  <pageSetup paperSize="9" scale="71" orientation="landscape" r:id="rId1"/>
  <rowBreaks count="1" manualBreakCount="1">
    <brk id="3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="80" zoomScaleNormal="100" zoomScaleSheetLayoutView="80" workbookViewId="0">
      <selection activeCell="J1" sqref="J1:N1"/>
    </sheetView>
  </sheetViews>
  <sheetFormatPr defaultColWidth="8.85546875" defaultRowHeight="12.75" x14ac:dyDescent="0.25"/>
  <cols>
    <col min="1" max="1" width="7.140625" style="216" customWidth="1"/>
    <col min="2" max="2" width="46.42578125" style="217" customWidth="1"/>
    <col min="3" max="3" width="15.5703125" style="216" customWidth="1"/>
    <col min="4" max="5" width="7.7109375" style="216" customWidth="1"/>
    <col min="6" max="7" width="14" style="216" customWidth="1"/>
    <col min="8" max="8" width="8.140625" style="216" customWidth="1"/>
    <col min="9" max="9" width="7.42578125" style="216" customWidth="1"/>
    <col min="10" max="10" width="11.7109375" style="216" customWidth="1"/>
    <col min="11" max="11" width="12.85546875" style="216" customWidth="1"/>
    <col min="12" max="13" width="6.5703125" style="216" customWidth="1"/>
    <col min="14" max="14" width="12.28515625" style="216" customWidth="1"/>
    <col min="15" max="16384" width="8.85546875" style="216"/>
  </cols>
  <sheetData>
    <row r="1" spans="1:14" ht="72.75" customHeight="1" x14ac:dyDescent="0.25">
      <c r="D1" s="218"/>
      <c r="E1" s="219"/>
      <c r="G1" s="243"/>
      <c r="H1" s="243"/>
      <c r="I1" s="243"/>
      <c r="J1" s="355" t="s">
        <v>664</v>
      </c>
      <c r="K1" s="356"/>
      <c r="L1" s="356"/>
      <c r="M1" s="356"/>
      <c r="N1" s="356"/>
    </row>
    <row r="2" spans="1:14" ht="13.5" customHeight="1" x14ac:dyDescent="0.25">
      <c r="B2" s="220"/>
    </row>
    <row r="3" spans="1:14" ht="26.25" customHeight="1" x14ac:dyDescent="0.25">
      <c r="A3" s="357" t="s">
        <v>583</v>
      </c>
      <c r="B3" s="357"/>
      <c r="C3" s="357"/>
      <c r="D3" s="357"/>
      <c r="E3" s="357"/>
      <c r="F3" s="357"/>
      <c r="G3" s="357"/>
      <c r="H3" s="357"/>
      <c r="I3" s="357"/>
      <c r="J3" s="357"/>
      <c r="K3" s="310"/>
      <c r="L3" s="310"/>
      <c r="M3" s="310"/>
      <c r="N3" s="310"/>
    </row>
    <row r="4" spans="1:14" ht="17.25" customHeight="1" x14ac:dyDescent="0.25">
      <c r="B4" s="220"/>
      <c r="E4" s="221"/>
      <c r="N4" s="216" t="s">
        <v>161</v>
      </c>
    </row>
    <row r="5" spans="1:14" ht="31.7" customHeight="1" x14ac:dyDescent="0.25">
      <c r="A5" s="358" t="s">
        <v>531</v>
      </c>
      <c r="B5" s="358" t="s">
        <v>220</v>
      </c>
      <c r="C5" s="358" t="s">
        <v>539</v>
      </c>
      <c r="D5" s="358"/>
      <c r="E5" s="358"/>
      <c r="F5" s="358"/>
      <c r="G5" s="358" t="s">
        <v>530</v>
      </c>
      <c r="H5" s="358"/>
      <c r="I5" s="358"/>
      <c r="J5" s="358"/>
      <c r="K5" s="358" t="s">
        <v>348</v>
      </c>
      <c r="L5" s="358"/>
      <c r="M5" s="358"/>
      <c r="N5" s="358"/>
    </row>
    <row r="6" spans="1:14" ht="81.75" customHeight="1" x14ac:dyDescent="0.25">
      <c r="A6" s="358"/>
      <c r="B6" s="358"/>
      <c r="C6" s="222" t="s">
        <v>210</v>
      </c>
      <c r="D6" s="222" t="s">
        <v>532</v>
      </c>
      <c r="E6" s="223" t="s">
        <v>533</v>
      </c>
      <c r="F6" s="223" t="s">
        <v>534</v>
      </c>
      <c r="G6" s="222" t="s">
        <v>210</v>
      </c>
      <c r="H6" s="222" t="s">
        <v>532</v>
      </c>
      <c r="I6" s="223" t="s">
        <v>533</v>
      </c>
      <c r="J6" s="223" t="s">
        <v>534</v>
      </c>
      <c r="K6" s="222" t="s">
        <v>210</v>
      </c>
      <c r="L6" s="222" t="s">
        <v>532</v>
      </c>
      <c r="M6" s="223" t="s">
        <v>533</v>
      </c>
      <c r="N6" s="223" t="s">
        <v>534</v>
      </c>
    </row>
    <row r="7" spans="1:14" ht="20.25" customHeight="1" x14ac:dyDescent="0.25">
      <c r="A7" s="224" t="s">
        <v>493</v>
      </c>
      <c r="B7" s="224" t="s">
        <v>494</v>
      </c>
      <c r="C7" s="224">
        <v>1</v>
      </c>
      <c r="D7" s="224">
        <f>C7+1</f>
        <v>2</v>
      </c>
      <c r="E7" s="224">
        <f t="shared" ref="E7:N7" si="0">D7+1</f>
        <v>3</v>
      </c>
      <c r="F7" s="224">
        <f t="shared" si="0"/>
        <v>4</v>
      </c>
      <c r="G7" s="224">
        <f t="shared" si="0"/>
        <v>5</v>
      </c>
      <c r="H7" s="224">
        <f t="shared" si="0"/>
        <v>6</v>
      </c>
      <c r="I7" s="224">
        <f t="shared" si="0"/>
        <v>7</v>
      </c>
      <c r="J7" s="224">
        <f t="shared" si="0"/>
        <v>8</v>
      </c>
      <c r="K7" s="224">
        <f t="shared" si="0"/>
        <v>9</v>
      </c>
      <c r="L7" s="224">
        <f t="shared" si="0"/>
        <v>10</v>
      </c>
      <c r="M7" s="224">
        <f t="shared" si="0"/>
        <v>11</v>
      </c>
      <c r="N7" s="224">
        <f t="shared" si="0"/>
        <v>12</v>
      </c>
    </row>
    <row r="8" spans="1:14" s="228" customFormat="1" ht="30" customHeight="1" x14ac:dyDescent="0.25">
      <c r="A8" s="225"/>
      <c r="B8" s="226" t="s">
        <v>535</v>
      </c>
      <c r="C8" s="227">
        <f t="shared" ref="C8:N8" si="1">SUM(C9:C15)</f>
        <v>5444.8</v>
      </c>
      <c r="D8" s="227">
        <f t="shared" si="1"/>
        <v>0</v>
      </c>
      <c r="E8" s="227">
        <f t="shared" si="1"/>
        <v>0</v>
      </c>
      <c r="F8" s="227">
        <f t="shared" si="1"/>
        <v>5444.8</v>
      </c>
      <c r="G8" s="277">
        <f t="shared" si="1"/>
        <v>0</v>
      </c>
      <c r="H8" s="277">
        <f t="shared" si="1"/>
        <v>0</v>
      </c>
      <c r="I8" s="277">
        <f t="shared" si="1"/>
        <v>0</v>
      </c>
      <c r="J8" s="277">
        <f t="shared" si="1"/>
        <v>0</v>
      </c>
      <c r="K8" s="277">
        <f t="shared" si="1"/>
        <v>5444.8</v>
      </c>
      <c r="L8" s="277">
        <f t="shared" si="1"/>
        <v>0</v>
      </c>
      <c r="M8" s="277">
        <f t="shared" si="1"/>
        <v>0</v>
      </c>
      <c r="N8" s="277">
        <f t="shared" si="1"/>
        <v>5444.8</v>
      </c>
    </row>
    <row r="9" spans="1:14" ht="66.75" customHeight="1" x14ac:dyDescent="0.25">
      <c r="A9" s="229">
        <v>1</v>
      </c>
      <c r="B9" s="230" t="s">
        <v>616</v>
      </c>
      <c r="C9" s="231">
        <f t="shared" ref="C9:C15" si="2">SUM(D9:F9)</f>
        <v>4444.8</v>
      </c>
      <c r="D9" s="231"/>
      <c r="E9" s="231"/>
      <c r="F9" s="232">
        <v>4444.8</v>
      </c>
      <c r="G9" s="231">
        <f t="shared" ref="G9:G15" si="3">SUM(H9:J9)</f>
        <v>-272.46899999999999</v>
      </c>
      <c r="H9" s="231"/>
      <c r="I9" s="231"/>
      <c r="J9" s="232">
        <f>-267.269-5.2</f>
        <v>-272.46899999999999</v>
      </c>
      <c r="K9" s="231">
        <f t="shared" ref="K9:K15" si="4">SUM(L9:N9)</f>
        <v>4172.3310000000001</v>
      </c>
      <c r="L9" s="231">
        <f t="shared" ref="L9:N15" si="5">D9+H9</f>
        <v>0</v>
      </c>
      <c r="M9" s="231">
        <f t="shared" si="5"/>
        <v>0</v>
      </c>
      <c r="N9" s="231">
        <f t="shared" si="5"/>
        <v>4172.3310000000001</v>
      </c>
    </row>
    <row r="10" spans="1:14" ht="66.75" customHeight="1" x14ac:dyDescent="0.25">
      <c r="A10" s="229" t="s">
        <v>497</v>
      </c>
      <c r="B10" s="280" t="s">
        <v>617</v>
      </c>
      <c r="C10" s="231">
        <f t="shared" si="2"/>
        <v>0</v>
      </c>
      <c r="D10" s="231"/>
      <c r="E10" s="231"/>
      <c r="F10" s="232"/>
      <c r="G10" s="231">
        <f t="shared" si="3"/>
        <v>272.46899999999999</v>
      </c>
      <c r="H10" s="231"/>
      <c r="I10" s="231"/>
      <c r="J10" s="232">
        <f>267.269+5.2</f>
        <v>272.46899999999999</v>
      </c>
      <c r="K10" s="231">
        <f t="shared" ref="K10" si="6">SUM(L10:N10)</f>
        <v>272.46899999999999</v>
      </c>
      <c r="L10" s="231">
        <f t="shared" ref="L10" si="7">D10+H10</f>
        <v>0</v>
      </c>
      <c r="M10" s="231">
        <f t="shared" ref="M10" si="8">E10+I10</f>
        <v>0</v>
      </c>
      <c r="N10" s="231">
        <f t="shared" ref="N10" si="9">F10+J10</f>
        <v>272.46899999999999</v>
      </c>
    </row>
    <row r="11" spans="1:14" ht="80.25" customHeight="1" x14ac:dyDescent="0.25">
      <c r="A11" s="229">
        <f>A9+1</f>
        <v>2</v>
      </c>
      <c r="B11" s="230" t="s">
        <v>602</v>
      </c>
      <c r="C11" s="231">
        <f t="shared" si="2"/>
        <v>0</v>
      </c>
      <c r="D11" s="233"/>
      <c r="E11" s="233"/>
      <c r="F11" s="234">
        <v>0</v>
      </c>
      <c r="G11" s="231">
        <f t="shared" si="3"/>
        <v>0</v>
      </c>
      <c r="H11" s="233"/>
      <c r="I11" s="233"/>
      <c r="J11" s="234"/>
      <c r="K11" s="231">
        <f t="shared" si="4"/>
        <v>0</v>
      </c>
      <c r="L11" s="231">
        <f t="shared" si="5"/>
        <v>0</v>
      </c>
      <c r="M11" s="231">
        <f t="shared" si="5"/>
        <v>0</v>
      </c>
      <c r="N11" s="231">
        <f t="shared" si="5"/>
        <v>0</v>
      </c>
    </row>
    <row r="12" spans="1:14" ht="65.25" customHeight="1" x14ac:dyDescent="0.25">
      <c r="A12" s="229">
        <f>A11+1</f>
        <v>3</v>
      </c>
      <c r="B12" s="230" t="s">
        <v>536</v>
      </c>
      <c r="C12" s="231">
        <f t="shared" si="2"/>
        <v>200</v>
      </c>
      <c r="D12" s="235"/>
      <c r="E12" s="235"/>
      <c r="F12" s="234">
        <v>200</v>
      </c>
      <c r="G12" s="231">
        <f t="shared" si="3"/>
        <v>0</v>
      </c>
      <c r="H12" s="235"/>
      <c r="I12" s="235"/>
      <c r="J12" s="234"/>
      <c r="K12" s="231">
        <f t="shared" si="4"/>
        <v>200</v>
      </c>
      <c r="L12" s="231">
        <f t="shared" si="5"/>
        <v>0</v>
      </c>
      <c r="M12" s="231">
        <f t="shared" si="5"/>
        <v>0</v>
      </c>
      <c r="N12" s="231">
        <f t="shared" si="5"/>
        <v>200</v>
      </c>
    </row>
    <row r="13" spans="1:14" ht="60" hidden="1" x14ac:dyDescent="0.25">
      <c r="A13" s="229">
        <f>A12+1</f>
        <v>4</v>
      </c>
      <c r="B13" s="230" t="s">
        <v>537</v>
      </c>
      <c r="C13" s="231">
        <f t="shared" si="2"/>
        <v>0</v>
      </c>
      <c r="D13" s="235"/>
      <c r="E13" s="235"/>
      <c r="F13" s="234">
        <v>0</v>
      </c>
      <c r="G13" s="231">
        <f t="shared" si="3"/>
        <v>0</v>
      </c>
      <c r="H13" s="235"/>
      <c r="I13" s="235"/>
      <c r="J13" s="234"/>
      <c r="K13" s="231">
        <f t="shared" si="4"/>
        <v>0</v>
      </c>
      <c r="L13" s="231">
        <f t="shared" si="5"/>
        <v>0</v>
      </c>
      <c r="M13" s="231">
        <f t="shared" si="5"/>
        <v>0</v>
      </c>
      <c r="N13" s="231">
        <f t="shared" si="5"/>
        <v>0</v>
      </c>
    </row>
    <row r="14" spans="1:14" ht="79.5" customHeight="1" x14ac:dyDescent="0.25">
      <c r="A14" s="229">
        <v>4</v>
      </c>
      <c r="B14" s="230" t="s">
        <v>603</v>
      </c>
      <c r="C14" s="231">
        <f t="shared" si="2"/>
        <v>300</v>
      </c>
      <c r="D14" s="235"/>
      <c r="E14" s="235"/>
      <c r="F14" s="234">
        <v>300</v>
      </c>
      <c r="G14" s="231">
        <f t="shared" si="3"/>
        <v>0</v>
      </c>
      <c r="H14" s="235"/>
      <c r="I14" s="235"/>
      <c r="J14" s="234"/>
      <c r="K14" s="231">
        <f t="shared" si="4"/>
        <v>300</v>
      </c>
      <c r="L14" s="231">
        <f t="shared" si="5"/>
        <v>0</v>
      </c>
      <c r="M14" s="231">
        <f t="shared" si="5"/>
        <v>0</v>
      </c>
      <c r="N14" s="231">
        <f t="shared" si="5"/>
        <v>300</v>
      </c>
    </row>
    <row r="15" spans="1:14" ht="90" customHeight="1" x14ac:dyDescent="0.25">
      <c r="A15" s="229">
        <v>5</v>
      </c>
      <c r="B15" s="230" t="s">
        <v>538</v>
      </c>
      <c r="C15" s="231">
        <f t="shared" si="2"/>
        <v>500</v>
      </c>
      <c r="D15" s="236"/>
      <c r="E15" s="236"/>
      <c r="F15" s="235">
        <v>500</v>
      </c>
      <c r="G15" s="231">
        <f t="shared" si="3"/>
        <v>0</v>
      </c>
      <c r="H15" s="236"/>
      <c r="I15" s="236"/>
      <c r="J15" s="235"/>
      <c r="K15" s="231">
        <f t="shared" si="4"/>
        <v>500</v>
      </c>
      <c r="L15" s="231">
        <f t="shared" si="5"/>
        <v>0</v>
      </c>
      <c r="M15" s="231">
        <f t="shared" si="5"/>
        <v>0</v>
      </c>
      <c r="N15" s="231">
        <f t="shared" si="5"/>
        <v>500</v>
      </c>
    </row>
    <row r="16" spans="1:14" ht="15.75" x14ac:dyDescent="0.25">
      <c r="B16" s="237"/>
    </row>
    <row r="17" spans="2:2" ht="15.75" x14ac:dyDescent="0.25">
      <c r="B17" s="237"/>
    </row>
    <row r="18" spans="2:2" ht="15.75" x14ac:dyDescent="0.25">
      <c r="B18" s="237"/>
    </row>
    <row r="19" spans="2:2" ht="15.75" x14ac:dyDescent="0.25">
      <c r="B19" s="237"/>
    </row>
    <row r="20" spans="2:2" ht="15.75" x14ac:dyDescent="0.25">
      <c r="B20" s="237"/>
    </row>
    <row r="21" spans="2:2" ht="15.75" x14ac:dyDescent="0.25">
      <c r="B21" s="237"/>
    </row>
    <row r="22" spans="2:2" ht="15.75" x14ac:dyDescent="0.25">
      <c r="B22" s="237"/>
    </row>
  </sheetData>
  <mergeCells count="7">
    <mergeCell ref="J1:N1"/>
    <mergeCell ref="A3:N3"/>
    <mergeCell ref="A5:A6"/>
    <mergeCell ref="B5:B6"/>
    <mergeCell ref="C5:F5"/>
    <mergeCell ref="K5:N5"/>
    <mergeCell ref="G5:J5"/>
  </mergeCells>
  <pageMargins left="0.78740157480314965" right="0" top="0" bottom="0" header="0" footer="0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9"/>
  <sheetViews>
    <sheetView view="pageBreakPreview" topLeftCell="G1" zoomScale="85" zoomScaleNormal="100" zoomScaleSheetLayoutView="85" workbookViewId="0">
      <selection activeCell="AD12" sqref="AD12"/>
    </sheetView>
  </sheetViews>
  <sheetFormatPr defaultColWidth="8" defaultRowHeight="12.75" x14ac:dyDescent="0.2"/>
  <cols>
    <col min="1" max="1" width="19" style="206" hidden="1" customWidth="1"/>
    <col min="2" max="2" width="0.28515625" style="206" hidden="1" customWidth="1"/>
    <col min="3" max="3" width="6" style="208" customWidth="1"/>
    <col min="4" max="4" width="55.42578125" style="209" customWidth="1"/>
    <col min="5" max="5" width="8.28515625" style="210" hidden="1" customWidth="1"/>
    <col min="6" max="6" width="18.7109375" style="211" customWidth="1"/>
    <col min="7" max="7" width="13.140625" style="211" customWidth="1"/>
    <col min="8" max="8" width="14.28515625" style="211" customWidth="1"/>
    <col min="9" max="9" width="14" style="211" customWidth="1"/>
    <col min="10" max="10" width="15" style="211" customWidth="1"/>
    <col min="11" max="11" width="16.28515625" style="211" customWidth="1"/>
    <col min="12" max="12" width="17.140625" style="211" customWidth="1"/>
    <col min="13" max="13" width="13.85546875" style="211" customWidth="1"/>
    <col min="14" max="14" width="16" style="206" customWidth="1"/>
    <col min="15" max="15" width="16.140625" style="206" customWidth="1"/>
    <col min="16" max="16" width="14.85546875" style="206" customWidth="1"/>
    <col min="17" max="17" width="15.5703125" style="206" hidden="1" customWidth="1"/>
    <col min="18" max="18" width="13.7109375" style="206" hidden="1" customWidth="1"/>
    <col min="19" max="19" width="10.28515625" style="206" hidden="1" customWidth="1"/>
    <col min="20" max="20" width="12.140625" style="105" customWidth="1"/>
    <col min="21" max="21" width="15.140625" style="105" customWidth="1"/>
    <col min="22" max="48" width="8" style="105" customWidth="1"/>
    <col min="49" max="256" width="8" style="206"/>
    <col min="257" max="257" width="19" style="206" customWidth="1"/>
    <col min="258" max="258" width="0" style="206" hidden="1" customWidth="1"/>
    <col min="259" max="259" width="6" style="206" customWidth="1"/>
    <col min="260" max="260" width="42.140625" style="206" customWidth="1"/>
    <col min="261" max="261" width="0" style="206" hidden="1" customWidth="1"/>
    <col min="262" max="262" width="12.7109375" style="206" customWidth="1"/>
    <col min="263" max="263" width="13.5703125" style="206" customWidth="1"/>
    <col min="264" max="264" width="14" style="206" customWidth="1"/>
    <col min="265" max="265" width="13.85546875" style="206" customWidth="1"/>
    <col min="266" max="266" width="12.5703125" style="206" customWidth="1"/>
    <col min="267" max="269" width="12.7109375" style="206" customWidth="1"/>
    <col min="270" max="275" width="0" style="206" hidden="1" customWidth="1"/>
    <col min="276" max="276" width="12.140625" style="206" customWidth="1"/>
    <col min="277" max="277" width="15.140625" style="206" customWidth="1"/>
    <col min="278" max="304" width="8" style="206" customWidth="1"/>
    <col min="305" max="512" width="8" style="206"/>
    <col min="513" max="513" width="19" style="206" customWidth="1"/>
    <col min="514" max="514" width="0" style="206" hidden="1" customWidth="1"/>
    <col min="515" max="515" width="6" style="206" customWidth="1"/>
    <col min="516" max="516" width="42.140625" style="206" customWidth="1"/>
    <col min="517" max="517" width="0" style="206" hidden="1" customWidth="1"/>
    <col min="518" max="518" width="12.7109375" style="206" customWidth="1"/>
    <col min="519" max="519" width="13.5703125" style="206" customWidth="1"/>
    <col min="520" max="520" width="14" style="206" customWidth="1"/>
    <col min="521" max="521" width="13.85546875" style="206" customWidth="1"/>
    <col min="522" max="522" width="12.5703125" style="206" customWidth="1"/>
    <col min="523" max="525" width="12.7109375" style="206" customWidth="1"/>
    <col min="526" max="531" width="0" style="206" hidden="1" customWidth="1"/>
    <col min="532" max="532" width="12.140625" style="206" customWidth="1"/>
    <col min="533" max="533" width="15.140625" style="206" customWidth="1"/>
    <col min="534" max="560" width="8" style="206" customWidth="1"/>
    <col min="561" max="768" width="8" style="206"/>
    <col min="769" max="769" width="19" style="206" customWidth="1"/>
    <col min="770" max="770" width="0" style="206" hidden="1" customWidth="1"/>
    <col min="771" max="771" width="6" style="206" customWidth="1"/>
    <col min="772" max="772" width="42.140625" style="206" customWidth="1"/>
    <col min="773" max="773" width="0" style="206" hidden="1" customWidth="1"/>
    <col min="774" max="774" width="12.7109375" style="206" customWidth="1"/>
    <col min="775" max="775" width="13.5703125" style="206" customWidth="1"/>
    <col min="776" max="776" width="14" style="206" customWidth="1"/>
    <col min="777" max="777" width="13.85546875" style="206" customWidth="1"/>
    <col min="778" max="778" width="12.5703125" style="206" customWidth="1"/>
    <col min="779" max="781" width="12.7109375" style="206" customWidth="1"/>
    <col min="782" max="787" width="0" style="206" hidden="1" customWidth="1"/>
    <col min="788" max="788" width="12.140625" style="206" customWidth="1"/>
    <col min="789" max="789" width="15.140625" style="206" customWidth="1"/>
    <col min="790" max="816" width="8" style="206" customWidth="1"/>
    <col min="817" max="1024" width="8" style="206"/>
    <col min="1025" max="1025" width="19" style="206" customWidth="1"/>
    <col min="1026" max="1026" width="0" style="206" hidden="1" customWidth="1"/>
    <col min="1027" max="1027" width="6" style="206" customWidth="1"/>
    <col min="1028" max="1028" width="42.140625" style="206" customWidth="1"/>
    <col min="1029" max="1029" width="0" style="206" hidden="1" customWidth="1"/>
    <col min="1030" max="1030" width="12.7109375" style="206" customWidth="1"/>
    <col min="1031" max="1031" width="13.5703125" style="206" customWidth="1"/>
    <col min="1032" max="1032" width="14" style="206" customWidth="1"/>
    <col min="1033" max="1033" width="13.85546875" style="206" customWidth="1"/>
    <col min="1034" max="1034" width="12.5703125" style="206" customWidth="1"/>
    <col min="1035" max="1037" width="12.7109375" style="206" customWidth="1"/>
    <col min="1038" max="1043" width="0" style="206" hidden="1" customWidth="1"/>
    <col min="1044" max="1044" width="12.140625" style="206" customWidth="1"/>
    <col min="1045" max="1045" width="15.140625" style="206" customWidth="1"/>
    <col min="1046" max="1072" width="8" style="206" customWidth="1"/>
    <col min="1073" max="1280" width="8" style="206"/>
    <col min="1281" max="1281" width="19" style="206" customWidth="1"/>
    <col min="1282" max="1282" width="0" style="206" hidden="1" customWidth="1"/>
    <col min="1283" max="1283" width="6" style="206" customWidth="1"/>
    <col min="1284" max="1284" width="42.140625" style="206" customWidth="1"/>
    <col min="1285" max="1285" width="0" style="206" hidden="1" customWidth="1"/>
    <col min="1286" max="1286" width="12.7109375" style="206" customWidth="1"/>
    <col min="1287" max="1287" width="13.5703125" style="206" customWidth="1"/>
    <col min="1288" max="1288" width="14" style="206" customWidth="1"/>
    <col min="1289" max="1289" width="13.85546875" style="206" customWidth="1"/>
    <col min="1290" max="1290" width="12.5703125" style="206" customWidth="1"/>
    <col min="1291" max="1293" width="12.7109375" style="206" customWidth="1"/>
    <col min="1294" max="1299" width="0" style="206" hidden="1" customWidth="1"/>
    <col min="1300" max="1300" width="12.140625" style="206" customWidth="1"/>
    <col min="1301" max="1301" width="15.140625" style="206" customWidth="1"/>
    <col min="1302" max="1328" width="8" style="206" customWidth="1"/>
    <col min="1329" max="1536" width="8" style="206"/>
    <col min="1537" max="1537" width="19" style="206" customWidth="1"/>
    <col min="1538" max="1538" width="0" style="206" hidden="1" customWidth="1"/>
    <col min="1539" max="1539" width="6" style="206" customWidth="1"/>
    <col min="1540" max="1540" width="42.140625" style="206" customWidth="1"/>
    <col min="1541" max="1541" width="0" style="206" hidden="1" customWidth="1"/>
    <col min="1542" max="1542" width="12.7109375" style="206" customWidth="1"/>
    <col min="1543" max="1543" width="13.5703125" style="206" customWidth="1"/>
    <col min="1544" max="1544" width="14" style="206" customWidth="1"/>
    <col min="1545" max="1545" width="13.85546875" style="206" customWidth="1"/>
    <col min="1546" max="1546" width="12.5703125" style="206" customWidth="1"/>
    <col min="1547" max="1549" width="12.7109375" style="206" customWidth="1"/>
    <col min="1550" max="1555" width="0" style="206" hidden="1" customWidth="1"/>
    <col min="1556" max="1556" width="12.140625" style="206" customWidth="1"/>
    <col min="1557" max="1557" width="15.140625" style="206" customWidth="1"/>
    <col min="1558" max="1584" width="8" style="206" customWidth="1"/>
    <col min="1585" max="1792" width="8" style="206"/>
    <col min="1793" max="1793" width="19" style="206" customWidth="1"/>
    <col min="1794" max="1794" width="0" style="206" hidden="1" customWidth="1"/>
    <col min="1795" max="1795" width="6" style="206" customWidth="1"/>
    <col min="1796" max="1796" width="42.140625" style="206" customWidth="1"/>
    <col min="1797" max="1797" width="0" style="206" hidden="1" customWidth="1"/>
    <col min="1798" max="1798" width="12.7109375" style="206" customWidth="1"/>
    <col min="1799" max="1799" width="13.5703125" style="206" customWidth="1"/>
    <col min="1800" max="1800" width="14" style="206" customWidth="1"/>
    <col min="1801" max="1801" width="13.85546875" style="206" customWidth="1"/>
    <col min="1802" max="1802" width="12.5703125" style="206" customWidth="1"/>
    <col min="1803" max="1805" width="12.7109375" style="206" customWidth="1"/>
    <col min="1806" max="1811" width="0" style="206" hidden="1" customWidth="1"/>
    <col min="1812" max="1812" width="12.140625" style="206" customWidth="1"/>
    <col min="1813" max="1813" width="15.140625" style="206" customWidth="1"/>
    <col min="1814" max="1840" width="8" style="206" customWidth="1"/>
    <col min="1841" max="2048" width="8" style="206"/>
    <col min="2049" max="2049" width="19" style="206" customWidth="1"/>
    <col min="2050" max="2050" width="0" style="206" hidden="1" customWidth="1"/>
    <col min="2051" max="2051" width="6" style="206" customWidth="1"/>
    <col min="2052" max="2052" width="42.140625" style="206" customWidth="1"/>
    <col min="2053" max="2053" width="0" style="206" hidden="1" customWidth="1"/>
    <col min="2054" max="2054" width="12.7109375" style="206" customWidth="1"/>
    <col min="2055" max="2055" width="13.5703125" style="206" customWidth="1"/>
    <col min="2056" max="2056" width="14" style="206" customWidth="1"/>
    <col min="2057" max="2057" width="13.85546875" style="206" customWidth="1"/>
    <col min="2058" max="2058" width="12.5703125" style="206" customWidth="1"/>
    <col min="2059" max="2061" width="12.7109375" style="206" customWidth="1"/>
    <col min="2062" max="2067" width="0" style="206" hidden="1" customWidth="1"/>
    <col min="2068" max="2068" width="12.140625" style="206" customWidth="1"/>
    <col min="2069" max="2069" width="15.140625" style="206" customWidth="1"/>
    <col min="2070" max="2096" width="8" style="206" customWidth="1"/>
    <col min="2097" max="2304" width="8" style="206"/>
    <col min="2305" max="2305" width="19" style="206" customWidth="1"/>
    <col min="2306" max="2306" width="0" style="206" hidden="1" customWidth="1"/>
    <col min="2307" max="2307" width="6" style="206" customWidth="1"/>
    <col min="2308" max="2308" width="42.140625" style="206" customWidth="1"/>
    <col min="2309" max="2309" width="0" style="206" hidden="1" customWidth="1"/>
    <col min="2310" max="2310" width="12.7109375" style="206" customWidth="1"/>
    <col min="2311" max="2311" width="13.5703125" style="206" customWidth="1"/>
    <col min="2312" max="2312" width="14" style="206" customWidth="1"/>
    <col min="2313" max="2313" width="13.85546875" style="206" customWidth="1"/>
    <col min="2314" max="2314" width="12.5703125" style="206" customWidth="1"/>
    <col min="2315" max="2317" width="12.7109375" style="206" customWidth="1"/>
    <col min="2318" max="2323" width="0" style="206" hidden="1" customWidth="1"/>
    <col min="2324" max="2324" width="12.140625" style="206" customWidth="1"/>
    <col min="2325" max="2325" width="15.140625" style="206" customWidth="1"/>
    <col min="2326" max="2352" width="8" style="206" customWidth="1"/>
    <col min="2353" max="2560" width="8" style="206"/>
    <col min="2561" max="2561" width="19" style="206" customWidth="1"/>
    <col min="2562" max="2562" width="0" style="206" hidden="1" customWidth="1"/>
    <col min="2563" max="2563" width="6" style="206" customWidth="1"/>
    <col min="2564" max="2564" width="42.140625" style="206" customWidth="1"/>
    <col min="2565" max="2565" width="0" style="206" hidden="1" customWidth="1"/>
    <col min="2566" max="2566" width="12.7109375" style="206" customWidth="1"/>
    <col min="2567" max="2567" width="13.5703125" style="206" customWidth="1"/>
    <col min="2568" max="2568" width="14" style="206" customWidth="1"/>
    <col min="2569" max="2569" width="13.85546875" style="206" customWidth="1"/>
    <col min="2570" max="2570" width="12.5703125" style="206" customWidth="1"/>
    <col min="2571" max="2573" width="12.7109375" style="206" customWidth="1"/>
    <col min="2574" max="2579" width="0" style="206" hidden="1" customWidth="1"/>
    <col min="2580" max="2580" width="12.140625" style="206" customWidth="1"/>
    <col min="2581" max="2581" width="15.140625" style="206" customWidth="1"/>
    <col min="2582" max="2608" width="8" style="206" customWidth="1"/>
    <col min="2609" max="2816" width="8" style="206"/>
    <col min="2817" max="2817" width="19" style="206" customWidth="1"/>
    <col min="2818" max="2818" width="0" style="206" hidden="1" customWidth="1"/>
    <col min="2819" max="2819" width="6" style="206" customWidth="1"/>
    <col min="2820" max="2820" width="42.140625" style="206" customWidth="1"/>
    <col min="2821" max="2821" width="0" style="206" hidden="1" customWidth="1"/>
    <col min="2822" max="2822" width="12.7109375" style="206" customWidth="1"/>
    <col min="2823" max="2823" width="13.5703125" style="206" customWidth="1"/>
    <col min="2824" max="2824" width="14" style="206" customWidth="1"/>
    <col min="2825" max="2825" width="13.85546875" style="206" customWidth="1"/>
    <col min="2826" max="2826" width="12.5703125" style="206" customWidth="1"/>
    <col min="2827" max="2829" width="12.7109375" style="206" customWidth="1"/>
    <col min="2830" max="2835" width="0" style="206" hidden="1" customWidth="1"/>
    <col min="2836" max="2836" width="12.140625" style="206" customWidth="1"/>
    <col min="2837" max="2837" width="15.140625" style="206" customWidth="1"/>
    <col min="2838" max="2864" width="8" style="206" customWidth="1"/>
    <col min="2865" max="3072" width="8" style="206"/>
    <col min="3073" max="3073" width="19" style="206" customWidth="1"/>
    <col min="3074" max="3074" width="0" style="206" hidden="1" customWidth="1"/>
    <col min="3075" max="3075" width="6" style="206" customWidth="1"/>
    <col min="3076" max="3076" width="42.140625" style="206" customWidth="1"/>
    <col min="3077" max="3077" width="0" style="206" hidden="1" customWidth="1"/>
    <col min="3078" max="3078" width="12.7109375" style="206" customWidth="1"/>
    <col min="3079" max="3079" width="13.5703125" style="206" customWidth="1"/>
    <col min="3080" max="3080" width="14" style="206" customWidth="1"/>
    <col min="3081" max="3081" width="13.85546875" style="206" customWidth="1"/>
    <col min="3082" max="3082" width="12.5703125" style="206" customWidth="1"/>
    <col min="3083" max="3085" width="12.7109375" style="206" customWidth="1"/>
    <col min="3086" max="3091" width="0" style="206" hidden="1" customWidth="1"/>
    <col min="3092" max="3092" width="12.140625" style="206" customWidth="1"/>
    <col min="3093" max="3093" width="15.140625" style="206" customWidth="1"/>
    <col min="3094" max="3120" width="8" style="206" customWidth="1"/>
    <col min="3121" max="3328" width="8" style="206"/>
    <col min="3329" max="3329" width="19" style="206" customWidth="1"/>
    <col min="3330" max="3330" width="0" style="206" hidden="1" customWidth="1"/>
    <col min="3331" max="3331" width="6" style="206" customWidth="1"/>
    <col min="3332" max="3332" width="42.140625" style="206" customWidth="1"/>
    <col min="3333" max="3333" width="0" style="206" hidden="1" customWidth="1"/>
    <col min="3334" max="3334" width="12.7109375" style="206" customWidth="1"/>
    <col min="3335" max="3335" width="13.5703125" style="206" customWidth="1"/>
    <col min="3336" max="3336" width="14" style="206" customWidth="1"/>
    <col min="3337" max="3337" width="13.85546875" style="206" customWidth="1"/>
    <col min="3338" max="3338" width="12.5703125" style="206" customWidth="1"/>
    <col min="3339" max="3341" width="12.7109375" style="206" customWidth="1"/>
    <col min="3342" max="3347" width="0" style="206" hidden="1" customWidth="1"/>
    <col min="3348" max="3348" width="12.140625" style="206" customWidth="1"/>
    <col min="3349" max="3349" width="15.140625" style="206" customWidth="1"/>
    <col min="3350" max="3376" width="8" style="206" customWidth="1"/>
    <col min="3377" max="3584" width="8" style="206"/>
    <col min="3585" max="3585" width="19" style="206" customWidth="1"/>
    <col min="3586" max="3586" width="0" style="206" hidden="1" customWidth="1"/>
    <col min="3587" max="3587" width="6" style="206" customWidth="1"/>
    <col min="3588" max="3588" width="42.140625" style="206" customWidth="1"/>
    <col min="3589" max="3589" width="0" style="206" hidden="1" customWidth="1"/>
    <col min="3590" max="3590" width="12.7109375" style="206" customWidth="1"/>
    <col min="3591" max="3591" width="13.5703125" style="206" customWidth="1"/>
    <col min="3592" max="3592" width="14" style="206" customWidth="1"/>
    <col min="3593" max="3593" width="13.85546875" style="206" customWidth="1"/>
    <col min="3594" max="3594" width="12.5703125" style="206" customWidth="1"/>
    <col min="3595" max="3597" width="12.7109375" style="206" customWidth="1"/>
    <col min="3598" max="3603" width="0" style="206" hidden="1" customWidth="1"/>
    <col min="3604" max="3604" width="12.140625" style="206" customWidth="1"/>
    <col min="3605" max="3605" width="15.140625" style="206" customWidth="1"/>
    <col min="3606" max="3632" width="8" style="206" customWidth="1"/>
    <col min="3633" max="3840" width="8" style="206"/>
    <col min="3841" max="3841" width="19" style="206" customWidth="1"/>
    <col min="3842" max="3842" width="0" style="206" hidden="1" customWidth="1"/>
    <col min="3843" max="3843" width="6" style="206" customWidth="1"/>
    <col min="3844" max="3844" width="42.140625" style="206" customWidth="1"/>
    <col min="3845" max="3845" width="0" style="206" hidden="1" customWidth="1"/>
    <col min="3846" max="3846" width="12.7109375" style="206" customWidth="1"/>
    <col min="3847" max="3847" width="13.5703125" style="206" customWidth="1"/>
    <col min="3848" max="3848" width="14" style="206" customWidth="1"/>
    <col min="3849" max="3849" width="13.85546875" style="206" customWidth="1"/>
    <col min="3850" max="3850" width="12.5703125" style="206" customWidth="1"/>
    <col min="3851" max="3853" width="12.7109375" style="206" customWidth="1"/>
    <col min="3854" max="3859" width="0" style="206" hidden="1" customWidth="1"/>
    <col min="3860" max="3860" width="12.140625" style="206" customWidth="1"/>
    <col min="3861" max="3861" width="15.140625" style="206" customWidth="1"/>
    <col min="3862" max="3888" width="8" style="206" customWidth="1"/>
    <col min="3889" max="4096" width="8" style="206"/>
    <col min="4097" max="4097" width="19" style="206" customWidth="1"/>
    <col min="4098" max="4098" width="0" style="206" hidden="1" customWidth="1"/>
    <col min="4099" max="4099" width="6" style="206" customWidth="1"/>
    <col min="4100" max="4100" width="42.140625" style="206" customWidth="1"/>
    <col min="4101" max="4101" width="0" style="206" hidden="1" customWidth="1"/>
    <col min="4102" max="4102" width="12.7109375" style="206" customWidth="1"/>
    <col min="4103" max="4103" width="13.5703125" style="206" customWidth="1"/>
    <col min="4104" max="4104" width="14" style="206" customWidth="1"/>
    <col min="4105" max="4105" width="13.85546875" style="206" customWidth="1"/>
    <col min="4106" max="4106" width="12.5703125" style="206" customWidth="1"/>
    <col min="4107" max="4109" width="12.7109375" style="206" customWidth="1"/>
    <col min="4110" max="4115" width="0" style="206" hidden="1" customWidth="1"/>
    <col min="4116" max="4116" width="12.140625" style="206" customWidth="1"/>
    <col min="4117" max="4117" width="15.140625" style="206" customWidth="1"/>
    <col min="4118" max="4144" width="8" style="206" customWidth="1"/>
    <col min="4145" max="4352" width="8" style="206"/>
    <col min="4353" max="4353" width="19" style="206" customWidth="1"/>
    <col min="4354" max="4354" width="0" style="206" hidden="1" customWidth="1"/>
    <col min="4355" max="4355" width="6" style="206" customWidth="1"/>
    <col min="4356" max="4356" width="42.140625" style="206" customWidth="1"/>
    <col min="4357" max="4357" width="0" style="206" hidden="1" customWidth="1"/>
    <col min="4358" max="4358" width="12.7109375" style="206" customWidth="1"/>
    <col min="4359" max="4359" width="13.5703125" style="206" customWidth="1"/>
    <col min="4360" max="4360" width="14" style="206" customWidth="1"/>
    <col min="4361" max="4361" width="13.85546875" style="206" customWidth="1"/>
    <col min="4362" max="4362" width="12.5703125" style="206" customWidth="1"/>
    <col min="4363" max="4365" width="12.7109375" style="206" customWidth="1"/>
    <col min="4366" max="4371" width="0" style="206" hidden="1" customWidth="1"/>
    <col min="4372" max="4372" width="12.140625" style="206" customWidth="1"/>
    <col min="4373" max="4373" width="15.140625" style="206" customWidth="1"/>
    <col min="4374" max="4400" width="8" style="206" customWidth="1"/>
    <col min="4401" max="4608" width="8" style="206"/>
    <col min="4609" max="4609" width="19" style="206" customWidth="1"/>
    <col min="4610" max="4610" width="0" style="206" hidden="1" customWidth="1"/>
    <col min="4611" max="4611" width="6" style="206" customWidth="1"/>
    <col min="4612" max="4612" width="42.140625" style="206" customWidth="1"/>
    <col min="4613" max="4613" width="0" style="206" hidden="1" customWidth="1"/>
    <col min="4614" max="4614" width="12.7109375" style="206" customWidth="1"/>
    <col min="4615" max="4615" width="13.5703125" style="206" customWidth="1"/>
    <col min="4616" max="4616" width="14" style="206" customWidth="1"/>
    <col min="4617" max="4617" width="13.85546875" style="206" customWidth="1"/>
    <col min="4618" max="4618" width="12.5703125" style="206" customWidth="1"/>
    <col min="4619" max="4621" width="12.7109375" style="206" customWidth="1"/>
    <col min="4622" max="4627" width="0" style="206" hidden="1" customWidth="1"/>
    <col min="4628" max="4628" width="12.140625" style="206" customWidth="1"/>
    <col min="4629" max="4629" width="15.140625" style="206" customWidth="1"/>
    <col min="4630" max="4656" width="8" style="206" customWidth="1"/>
    <col min="4657" max="4864" width="8" style="206"/>
    <col min="4865" max="4865" width="19" style="206" customWidth="1"/>
    <col min="4866" max="4866" width="0" style="206" hidden="1" customWidth="1"/>
    <col min="4867" max="4867" width="6" style="206" customWidth="1"/>
    <col min="4868" max="4868" width="42.140625" style="206" customWidth="1"/>
    <col min="4869" max="4869" width="0" style="206" hidden="1" customWidth="1"/>
    <col min="4870" max="4870" width="12.7109375" style="206" customWidth="1"/>
    <col min="4871" max="4871" width="13.5703125" style="206" customWidth="1"/>
    <col min="4872" max="4872" width="14" style="206" customWidth="1"/>
    <col min="4873" max="4873" width="13.85546875" style="206" customWidth="1"/>
    <col min="4874" max="4874" width="12.5703125" style="206" customWidth="1"/>
    <col min="4875" max="4877" width="12.7109375" style="206" customWidth="1"/>
    <col min="4878" max="4883" width="0" style="206" hidden="1" customWidth="1"/>
    <col min="4884" max="4884" width="12.140625" style="206" customWidth="1"/>
    <col min="4885" max="4885" width="15.140625" style="206" customWidth="1"/>
    <col min="4886" max="4912" width="8" style="206" customWidth="1"/>
    <col min="4913" max="5120" width="8" style="206"/>
    <col min="5121" max="5121" width="19" style="206" customWidth="1"/>
    <col min="5122" max="5122" width="0" style="206" hidden="1" customWidth="1"/>
    <col min="5123" max="5123" width="6" style="206" customWidth="1"/>
    <col min="5124" max="5124" width="42.140625" style="206" customWidth="1"/>
    <col min="5125" max="5125" width="0" style="206" hidden="1" customWidth="1"/>
    <col min="5126" max="5126" width="12.7109375" style="206" customWidth="1"/>
    <col min="5127" max="5127" width="13.5703125" style="206" customWidth="1"/>
    <col min="5128" max="5128" width="14" style="206" customWidth="1"/>
    <col min="5129" max="5129" width="13.85546875" style="206" customWidth="1"/>
    <col min="5130" max="5130" width="12.5703125" style="206" customWidth="1"/>
    <col min="5131" max="5133" width="12.7109375" style="206" customWidth="1"/>
    <col min="5134" max="5139" width="0" style="206" hidden="1" customWidth="1"/>
    <col min="5140" max="5140" width="12.140625" style="206" customWidth="1"/>
    <col min="5141" max="5141" width="15.140625" style="206" customWidth="1"/>
    <col min="5142" max="5168" width="8" style="206" customWidth="1"/>
    <col min="5169" max="5376" width="8" style="206"/>
    <col min="5377" max="5377" width="19" style="206" customWidth="1"/>
    <col min="5378" max="5378" width="0" style="206" hidden="1" customWidth="1"/>
    <col min="5379" max="5379" width="6" style="206" customWidth="1"/>
    <col min="5380" max="5380" width="42.140625" style="206" customWidth="1"/>
    <col min="5381" max="5381" width="0" style="206" hidden="1" customWidth="1"/>
    <col min="5382" max="5382" width="12.7109375" style="206" customWidth="1"/>
    <col min="5383" max="5383" width="13.5703125" style="206" customWidth="1"/>
    <col min="5384" max="5384" width="14" style="206" customWidth="1"/>
    <col min="5385" max="5385" width="13.85546875" style="206" customWidth="1"/>
    <col min="5386" max="5386" width="12.5703125" style="206" customWidth="1"/>
    <col min="5387" max="5389" width="12.7109375" style="206" customWidth="1"/>
    <col min="5390" max="5395" width="0" style="206" hidden="1" customWidth="1"/>
    <col min="5396" max="5396" width="12.140625" style="206" customWidth="1"/>
    <col min="5397" max="5397" width="15.140625" style="206" customWidth="1"/>
    <col min="5398" max="5424" width="8" style="206" customWidth="1"/>
    <col min="5425" max="5632" width="8" style="206"/>
    <col min="5633" max="5633" width="19" style="206" customWidth="1"/>
    <col min="5634" max="5634" width="0" style="206" hidden="1" customWidth="1"/>
    <col min="5635" max="5635" width="6" style="206" customWidth="1"/>
    <col min="5636" max="5636" width="42.140625" style="206" customWidth="1"/>
    <col min="5637" max="5637" width="0" style="206" hidden="1" customWidth="1"/>
    <col min="5638" max="5638" width="12.7109375" style="206" customWidth="1"/>
    <col min="5639" max="5639" width="13.5703125" style="206" customWidth="1"/>
    <col min="5640" max="5640" width="14" style="206" customWidth="1"/>
    <col min="5641" max="5641" width="13.85546875" style="206" customWidth="1"/>
    <col min="5642" max="5642" width="12.5703125" style="206" customWidth="1"/>
    <col min="5643" max="5645" width="12.7109375" style="206" customWidth="1"/>
    <col min="5646" max="5651" width="0" style="206" hidden="1" customWidth="1"/>
    <col min="5652" max="5652" width="12.140625" style="206" customWidth="1"/>
    <col min="5653" max="5653" width="15.140625" style="206" customWidth="1"/>
    <col min="5654" max="5680" width="8" style="206" customWidth="1"/>
    <col min="5681" max="5888" width="8" style="206"/>
    <col min="5889" max="5889" width="19" style="206" customWidth="1"/>
    <col min="5890" max="5890" width="0" style="206" hidden="1" customWidth="1"/>
    <col min="5891" max="5891" width="6" style="206" customWidth="1"/>
    <col min="5892" max="5892" width="42.140625" style="206" customWidth="1"/>
    <col min="5893" max="5893" width="0" style="206" hidden="1" customWidth="1"/>
    <col min="5894" max="5894" width="12.7109375" style="206" customWidth="1"/>
    <col min="5895" max="5895" width="13.5703125" style="206" customWidth="1"/>
    <col min="5896" max="5896" width="14" style="206" customWidth="1"/>
    <col min="5897" max="5897" width="13.85546875" style="206" customWidth="1"/>
    <col min="5898" max="5898" width="12.5703125" style="206" customWidth="1"/>
    <col min="5899" max="5901" width="12.7109375" style="206" customWidth="1"/>
    <col min="5902" max="5907" width="0" style="206" hidden="1" customWidth="1"/>
    <col min="5908" max="5908" width="12.140625" style="206" customWidth="1"/>
    <col min="5909" max="5909" width="15.140625" style="206" customWidth="1"/>
    <col min="5910" max="5936" width="8" style="206" customWidth="1"/>
    <col min="5937" max="6144" width="8" style="206"/>
    <col min="6145" max="6145" width="19" style="206" customWidth="1"/>
    <col min="6146" max="6146" width="0" style="206" hidden="1" customWidth="1"/>
    <col min="6147" max="6147" width="6" style="206" customWidth="1"/>
    <col min="6148" max="6148" width="42.140625" style="206" customWidth="1"/>
    <col min="6149" max="6149" width="0" style="206" hidden="1" customWidth="1"/>
    <col min="6150" max="6150" width="12.7109375" style="206" customWidth="1"/>
    <col min="6151" max="6151" width="13.5703125" style="206" customWidth="1"/>
    <col min="6152" max="6152" width="14" style="206" customWidth="1"/>
    <col min="6153" max="6153" width="13.85546875" style="206" customWidth="1"/>
    <col min="6154" max="6154" width="12.5703125" style="206" customWidth="1"/>
    <col min="6155" max="6157" width="12.7109375" style="206" customWidth="1"/>
    <col min="6158" max="6163" width="0" style="206" hidden="1" customWidth="1"/>
    <col min="6164" max="6164" width="12.140625" style="206" customWidth="1"/>
    <col min="6165" max="6165" width="15.140625" style="206" customWidth="1"/>
    <col min="6166" max="6192" width="8" style="206" customWidth="1"/>
    <col min="6193" max="6400" width="8" style="206"/>
    <col min="6401" max="6401" width="19" style="206" customWidth="1"/>
    <col min="6402" max="6402" width="0" style="206" hidden="1" customWidth="1"/>
    <col min="6403" max="6403" width="6" style="206" customWidth="1"/>
    <col min="6404" max="6404" width="42.140625" style="206" customWidth="1"/>
    <col min="6405" max="6405" width="0" style="206" hidden="1" customWidth="1"/>
    <col min="6406" max="6406" width="12.7109375" style="206" customWidth="1"/>
    <col min="6407" max="6407" width="13.5703125" style="206" customWidth="1"/>
    <col min="6408" max="6408" width="14" style="206" customWidth="1"/>
    <col min="6409" max="6409" width="13.85546875" style="206" customWidth="1"/>
    <col min="6410" max="6410" width="12.5703125" style="206" customWidth="1"/>
    <col min="6411" max="6413" width="12.7109375" style="206" customWidth="1"/>
    <col min="6414" max="6419" width="0" style="206" hidden="1" customWidth="1"/>
    <col min="6420" max="6420" width="12.140625" style="206" customWidth="1"/>
    <col min="6421" max="6421" width="15.140625" style="206" customWidth="1"/>
    <col min="6422" max="6448" width="8" style="206" customWidth="1"/>
    <col min="6449" max="6656" width="8" style="206"/>
    <col min="6657" max="6657" width="19" style="206" customWidth="1"/>
    <col min="6658" max="6658" width="0" style="206" hidden="1" customWidth="1"/>
    <col min="6659" max="6659" width="6" style="206" customWidth="1"/>
    <col min="6660" max="6660" width="42.140625" style="206" customWidth="1"/>
    <col min="6661" max="6661" width="0" style="206" hidden="1" customWidth="1"/>
    <col min="6662" max="6662" width="12.7109375" style="206" customWidth="1"/>
    <col min="6663" max="6663" width="13.5703125" style="206" customWidth="1"/>
    <col min="6664" max="6664" width="14" style="206" customWidth="1"/>
    <col min="6665" max="6665" width="13.85546875" style="206" customWidth="1"/>
    <col min="6666" max="6666" width="12.5703125" style="206" customWidth="1"/>
    <col min="6667" max="6669" width="12.7109375" style="206" customWidth="1"/>
    <col min="6670" max="6675" width="0" style="206" hidden="1" customWidth="1"/>
    <col min="6676" max="6676" width="12.140625" style="206" customWidth="1"/>
    <col min="6677" max="6677" width="15.140625" style="206" customWidth="1"/>
    <col min="6678" max="6704" width="8" style="206" customWidth="1"/>
    <col min="6705" max="6912" width="8" style="206"/>
    <col min="6913" max="6913" width="19" style="206" customWidth="1"/>
    <col min="6914" max="6914" width="0" style="206" hidden="1" customWidth="1"/>
    <col min="6915" max="6915" width="6" style="206" customWidth="1"/>
    <col min="6916" max="6916" width="42.140625" style="206" customWidth="1"/>
    <col min="6917" max="6917" width="0" style="206" hidden="1" customWidth="1"/>
    <col min="6918" max="6918" width="12.7109375" style="206" customWidth="1"/>
    <col min="6919" max="6919" width="13.5703125" style="206" customWidth="1"/>
    <col min="6920" max="6920" width="14" style="206" customWidth="1"/>
    <col min="6921" max="6921" width="13.85546875" style="206" customWidth="1"/>
    <col min="6922" max="6922" width="12.5703125" style="206" customWidth="1"/>
    <col min="6923" max="6925" width="12.7109375" style="206" customWidth="1"/>
    <col min="6926" max="6931" width="0" style="206" hidden="1" customWidth="1"/>
    <col min="6932" max="6932" width="12.140625" style="206" customWidth="1"/>
    <col min="6933" max="6933" width="15.140625" style="206" customWidth="1"/>
    <col min="6934" max="6960" width="8" style="206" customWidth="1"/>
    <col min="6961" max="7168" width="8" style="206"/>
    <col min="7169" max="7169" width="19" style="206" customWidth="1"/>
    <col min="7170" max="7170" width="0" style="206" hidden="1" customWidth="1"/>
    <col min="7171" max="7171" width="6" style="206" customWidth="1"/>
    <col min="7172" max="7172" width="42.140625" style="206" customWidth="1"/>
    <col min="7173" max="7173" width="0" style="206" hidden="1" customWidth="1"/>
    <col min="7174" max="7174" width="12.7109375" style="206" customWidth="1"/>
    <col min="7175" max="7175" width="13.5703125" style="206" customWidth="1"/>
    <col min="7176" max="7176" width="14" style="206" customWidth="1"/>
    <col min="7177" max="7177" width="13.85546875" style="206" customWidth="1"/>
    <col min="7178" max="7178" width="12.5703125" style="206" customWidth="1"/>
    <col min="7179" max="7181" width="12.7109375" style="206" customWidth="1"/>
    <col min="7182" max="7187" width="0" style="206" hidden="1" customWidth="1"/>
    <col min="7188" max="7188" width="12.140625" style="206" customWidth="1"/>
    <col min="7189" max="7189" width="15.140625" style="206" customWidth="1"/>
    <col min="7190" max="7216" width="8" style="206" customWidth="1"/>
    <col min="7217" max="7424" width="8" style="206"/>
    <col min="7425" max="7425" width="19" style="206" customWidth="1"/>
    <col min="7426" max="7426" width="0" style="206" hidden="1" customWidth="1"/>
    <col min="7427" max="7427" width="6" style="206" customWidth="1"/>
    <col min="7428" max="7428" width="42.140625" style="206" customWidth="1"/>
    <col min="7429" max="7429" width="0" style="206" hidden="1" customWidth="1"/>
    <col min="7430" max="7430" width="12.7109375" style="206" customWidth="1"/>
    <col min="7431" max="7431" width="13.5703125" style="206" customWidth="1"/>
    <col min="7432" max="7432" width="14" style="206" customWidth="1"/>
    <col min="7433" max="7433" width="13.85546875" style="206" customWidth="1"/>
    <col min="7434" max="7434" width="12.5703125" style="206" customWidth="1"/>
    <col min="7435" max="7437" width="12.7109375" style="206" customWidth="1"/>
    <col min="7438" max="7443" width="0" style="206" hidden="1" customWidth="1"/>
    <col min="7444" max="7444" width="12.140625" style="206" customWidth="1"/>
    <col min="7445" max="7445" width="15.140625" style="206" customWidth="1"/>
    <col min="7446" max="7472" width="8" style="206" customWidth="1"/>
    <col min="7473" max="7680" width="8" style="206"/>
    <col min="7681" max="7681" width="19" style="206" customWidth="1"/>
    <col min="7682" max="7682" width="0" style="206" hidden="1" customWidth="1"/>
    <col min="7683" max="7683" width="6" style="206" customWidth="1"/>
    <col min="7684" max="7684" width="42.140625" style="206" customWidth="1"/>
    <col min="7685" max="7685" width="0" style="206" hidden="1" customWidth="1"/>
    <col min="7686" max="7686" width="12.7109375" style="206" customWidth="1"/>
    <col min="7687" max="7687" width="13.5703125" style="206" customWidth="1"/>
    <col min="7688" max="7688" width="14" style="206" customWidth="1"/>
    <col min="7689" max="7689" width="13.85546875" style="206" customWidth="1"/>
    <col min="7690" max="7690" width="12.5703125" style="206" customWidth="1"/>
    <col min="7691" max="7693" width="12.7109375" style="206" customWidth="1"/>
    <col min="7694" max="7699" width="0" style="206" hidden="1" customWidth="1"/>
    <col min="7700" max="7700" width="12.140625" style="206" customWidth="1"/>
    <col min="7701" max="7701" width="15.140625" style="206" customWidth="1"/>
    <col min="7702" max="7728" width="8" style="206" customWidth="1"/>
    <col min="7729" max="7936" width="8" style="206"/>
    <col min="7937" max="7937" width="19" style="206" customWidth="1"/>
    <col min="7938" max="7938" width="0" style="206" hidden="1" customWidth="1"/>
    <col min="7939" max="7939" width="6" style="206" customWidth="1"/>
    <col min="7940" max="7940" width="42.140625" style="206" customWidth="1"/>
    <col min="7941" max="7941" width="0" style="206" hidden="1" customWidth="1"/>
    <col min="7942" max="7942" width="12.7109375" style="206" customWidth="1"/>
    <col min="7943" max="7943" width="13.5703125" style="206" customWidth="1"/>
    <col min="7944" max="7944" width="14" style="206" customWidth="1"/>
    <col min="7945" max="7945" width="13.85546875" style="206" customWidth="1"/>
    <col min="7946" max="7946" width="12.5703125" style="206" customWidth="1"/>
    <col min="7947" max="7949" width="12.7109375" style="206" customWidth="1"/>
    <col min="7950" max="7955" width="0" style="206" hidden="1" customWidth="1"/>
    <col min="7956" max="7956" width="12.140625" style="206" customWidth="1"/>
    <col min="7957" max="7957" width="15.140625" style="206" customWidth="1"/>
    <col min="7958" max="7984" width="8" style="206" customWidth="1"/>
    <col min="7985" max="8192" width="8" style="206"/>
    <col min="8193" max="8193" width="19" style="206" customWidth="1"/>
    <col min="8194" max="8194" width="0" style="206" hidden="1" customWidth="1"/>
    <col min="8195" max="8195" width="6" style="206" customWidth="1"/>
    <col min="8196" max="8196" width="42.140625" style="206" customWidth="1"/>
    <col min="8197" max="8197" width="0" style="206" hidden="1" customWidth="1"/>
    <col min="8198" max="8198" width="12.7109375" style="206" customWidth="1"/>
    <col min="8199" max="8199" width="13.5703125" style="206" customWidth="1"/>
    <col min="8200" max="8200" width="14" style="206" customWidth="1"/>
    <col min="8201" max="8201" width="13.85546875" style="206" customWidth="1"/>
    <col min="8202" max="8202" width="12.5703125" style="206" customWidth="1"/>
    <col min="8203" max="8205" width="12.7109375" style="206" customWidth="1"/>
    <col min="8206" max="8211" width="0" style="206" hidden="1" customWidth="1"/>
    <col min="8212" max="8212" width="12.140625" style="206" customWidth="1"/>
    <col min="8213" max="8213" width="15.140625" style="206" customWidth="1"/>
    <col min="8214" max="8240" width="8" style="206" customWidth="1"/>
    <col min="8241" max="8448" width="8" style="206"/>
    <col min="8449" max="8449" width="19" style="206" customWidth="1"/>
    <col min="8450" max="8450" width="0" style="206" hidden="1" customWidth="1"/>
    <col min="8451" max="8451" width="6" style="206" customWidth="1"/>
    <col min="8452" max="8452" width="42.140625" style="206" customWidth="1"/>
    <col min="8453" max="8453" width="0" style="206" hidden="1" customWidth="1"/>
    <col min="8454" max="8454" width="12.7109375" style="206" customWidth="1"/>
    <col min="8455" max="8455" width="13.5703125" style="206" customWidth="1"/>
    <col min="8456" max="8456" width="14" style="206" customWidth="1"/>
    <col min="8457" max="8457" width="13.85546875" style="206" customWidth="1"/>
    <col min="8458" max="8458" width="12.5703125" style="206" customWidth="1"/>
    <col min="8459" max="8461" width="12.7109375" style="206" customWidth="1"/>
    <col min="8462" max="8467" width="0" style="206" hidden="1" customWidth="1"/>
    <col min="8468" max="8468" width="12.140625" style="206" customWidth="1"/>
    <col min="8469" max="8469" width="15.140625" style="206" customWidth="1"/>
    <col min="8470" max="8496" width="8" style="206" customWidth="1"/>
    <col min="8497" max="8704" width="8" style="206"/>
    <col min="8705" max="8705" width="19" style="206" customWidth="1"/>
    <col min="8706" max="8706" width="0" style="206" hidden="1" customWidth="1"/>
    <col min="8707" max="8707" width="6" style="206" customWidth="1"/>
    <col min="8708" max="8708" width="42.140625" style="206" customWidth="1"/>
    <col min="8709" max="8709" width="0" style="206" hidden="1" customWidth="1"/>
    <col min="8710" max="8710" width="12.7109375" style="206" customWidth="1"/>
    <col min="8711" max="8711" width="13.5703125" style="206" customWidth="1"/>
    <col min="8712" max="8712" width="14" style="206" customWidth="1"/>
    <col min="8713" max="8713" width="13.85546875" style="206" customWidth="1"/>
    <col min="8714" max="8714" width="12.5703125" style="206" customWidth="1"/>
    <col min="8715" max="8717" width="12.7109375" style="206" customWidth="1"/>
    <col min="8718" max="8723" width="0" style="206" hidden="1" customWidth="1"/>
    <col min="8724" max="8724" width="12.140625" style="206" customWidth="1"/>
    <col min="8725" max="8725" width="15.140625" style="206" customWidth="1"/>
    <col min="8726" max="8752" width="8" style="206" customWidth="1"/>
    <col min="8753" max="8960" width="8" style="206"/>
    <col min="8961" max="8961" width="19" style="206" customWidth="1"/>
    <col min="8962" max="8962" width="0" style="206" hidden="1" customWidth="1"/>
    <col min="8963" max="8963" width="6" style="206" customWidth="1"/>
    <col min="8964" max="8964" width="42.140625" style="206" customWidth="1"/>
    <col min="8965" max="8965" width="0" style="206" hidden="1" customWidth="1"/>
    <col min="8966" max="8966" width="12.7109375" style="206" customWidth="1"/>
    <col min="8967" max="8967" width="13.5703125" style="206" customWidth="1"/>
    <col min="8968" max="8968" width="14" style="206" customWidth="1"/>
    <col min="8969" max="8969" width="13.85546875" style="206" customWidth="1"/>
    <col min="8970" max="8970" width="12.5703125" style="206" customWidth="1"/>
    <col min="8971" max="8973" width="12.7109375" style="206" customWidth="1"/>
    <col min="8974" max="8979" width="0" style="206" hidden="1" customWidth="1"/>
    <col min="8980" max="8980" width="12.140625" style="206" customWidth="1"/>
    <col min="8981" max="8981" width="15.140625" style="206" customWidth="1"/>
    <col min="8982" max="9008" width="8" style="206" customWidth="1"/>
    <col min="9009" max="9216" width="8" style="206"/>
    <col min="9217" max="9217" width="19" style="206" customWidth="1"/>
    <col min="9218" max="9218" width="0" style="206" hidden="1" customWidth="1"/>
    <col min="9219" max="9219" width="6" style="206" customWidth="1"/>
    <col min="9220" max="9220" width="42.140625" style="206" customWidth="1"/>
    <col min="9221" max="9221" width="0" style="206" hidden="1" customWidth="1"/>
    <col min="9222" max="9222" width="12.7109375" style="206" customWidth="1"/>
    <col min="9223" max="9223" width="13.5703125" style="206" customWidth="1"/>
    <col min="9224" max="9224" width="14" style="206" customWidth="1"/>
    <col min="9225" max="9225" width="13.85546875" style="206" customWidth="1"/>
    <col min="9226" max="9226" width="12.5703125" style="206" customWidth="1"/>
    <col min="9227" max="9229" width="12.7109375" style="206" customWidth="1"/>
    <col min="9230" max="9235" width="0" style="206" hidden="1" customWidth="1"/>
    <col min="9236" max="9236" width="12.140625" style="206" customWidth="1"/>
    <col min="9237" max="9237" width="15.140625" style="206" customWidth="1"/>
    <col min="9238" max="9264" width="8" style="206" customWidth="1"/>
    <col min="9265" max="9472" width="8" style="206"/>
    <col min="9473" max="9473" width="19" style="206" customWidth="1"/>
    <col min="9474" max="9474" width="0" style="206" hidden="1" customWidth="1"/>
    <col min="9475" max="9475" width="6" style="206" customWidth="1"/>
    <col min="9476" max="9476" width="42.140625" style="206" customWidth="1"/>
    <col min="9477" max="9477" width="0" style="206" hidden="1" customWidth="1"/>
    <col min="9478" max="9478" width="12.7109375" style="206" customWidth="1"/>
    <col min="9479" max="9479" width="13.5703125" style="206" customWidth="1"/>
    <col min="9480" max="9480" width="14" style="206" customWidth="1"/>
    <col min="9481" max="9481" width="13.85546875" style="206" customWidth="1"/>
    <col min="9482" max="9482" width="12.5703125" style="206" customWidth="1"/>
    <col min="9483" max="9485" width="12.7109375" style="206" customWidth="1"/>
    <col min="9486" max="9491" width="0" style="206" hidden="1" customWidth="1"/>
    <col min="9492" max="9492" width="12.140625" style="206" customWidth="1"/>
    <col min="9493" max="9493" width="15.140625" style="206" customWidth="1"/>
    <col min="9494" max="9520" width="8" style="206" customWidth="1"/>
    <col min="9521" max="9728" width="8" style="206"/>
    <col min="9729" max="9729" width="19" style="206" customWidth="1"/>
    <col min="9730" max="9730" width="0" style="206" hidden="1" customWidth="1"/>
    <col min="9731" max="9731" width="6" style="206" customWidth="1"/>
    <col min="9732" max="9732" width="42.140625" style="206" customWidth="1"/>
    <col min="9733" max="9733" width="0" style="206" hidden="1" customWidth="1"/>
    <col min="9734" max="9734" width="12.7109375" style="206" customWidth="1"/>
    <col min="9735" max="9735" width="13.5703125" style="206" customWidth="1"/>
    <col min="9736" max="9736" width="14" style="206" customWidth="1"/>
    <col min="9737" max="9737" width="13.85546875" style="206" customWidth="1"/>
    <col min="9738" max="9738" width="12.5703125" style="206" customWidth="1"/>
    <col min="9739" max="9741" width="12.7109375" style="206" customWidth="1"/>
    <col min="9742" max="9747" width="0" style="206" hidden="1" customWidth="1"/>
    <col min="9748" max="9748" width="12.140625" style="206" customWidth="1"/>
    <col min="9749" max="9749" width="15.140625" style="206" customWidth="1"/>
    <col min="9750" max="9776" width="8" style="206" customWidth="1"/>
    <col min="9777" max="9984" width="8" style="206"/>
    <col min="9985" max="9985" width="19" style="206" customWidth="1"/>
    <col min="9986" max="9986" width="0" style="206" hidden="1" customWidth="1"/>
    <col min="9987" max="9987" width="6" style="206" customWidth="1"/>
    <col min="9988" max="9988" width="42.140625" style="206" customWidth="1"/>
    <col min="9989" max="9989" width="0" style="206" hidden="1" customWidth="1"/>
    <col min="9990" max="9990" width="12.7109375" style="206" customWidth="1"/>
    <col min="9991" max="9991" width="13.5703125" style="206" customWidth="1"/>
    <col min="9992" max="9992" width="14" style="206" customWidth="1"/>
    <col min="9993" max="9993" width="13.85546875" style="206" customWidth="1"/>
    <col min="9994" max="9994" width="12.5703125" style="206" customWidth="1"/>
    <col min="9995" max="9997" width="12.7109375" style="206" customWidth="1"/>
    <col min="9998" max="10003" width="0" style="206" hidden="1" customWidth="1"/>
    <col min="10004" max="10004" width="12.140625" style="206" customWidth="1"/>
    <col min="10005" max="10005" width="15.140625" style="206" customWidth="1"/>
    <col min="10006" max="10032" width="8" style="206" customWidth="1"/>
    <col min="10033" max="10240" width="8" style="206"/>
    <col min="10241" max="10241" width="19" style="206" customWidth="1"/>
    <col min="10242" max="10242" width="0" style="206" hidden="1" customWidth="1"/>
    <col min="10243" max="10243" width="6" style="206" customWidth="1"/>
    <col min="10244" max="10244" width="42.140625" style="206" customWidth="1"/>
    <col min="10245" max="10245" width="0" style="206" hidden="1" customWidth="1"/>
    <col min="10246" max="10246" width="12.7109375" style="206" customWidth="1"/>
    <col min="10247" max="10247" width="13.5703125" style="206" customWidth="1"/>
    <col min="10248" max="10248" width="14" style="206" customWidth="1"/>
    <col min="10249" max="10249" width="13.85546875" style="206" customWidth="1"/>
    <col min="10250" max="10250" width="12.5703125" style="206" customWidth="1"/>
    <col min="10251" max="10253" width="12.7109375" style="206" customWidth="1"/>
    <col min="10254" max="10259" width="0" style="206" hidden="1" customWidth="1"/>
    <col min="10260" max="10260" width="12.140625" style="206" customWidth="1"/>
    <col min="10261" max="10261" width="15.140625" style="206" customWidth="1"/>
    <col min="10262" max="10288" width="8" style="206" customWidth="1"/>
    <col min="10289" max="10496" width="8" style="206"/>
    <col min="10497" max="10497" width="19" style="206" customWidth="1"/>
    <col min="10498" max="10498" width="0" style="206" hidden="1" customWidth="1"/>
    <col min="10499" max="10499" width="6" style="206" customWidth="1"/>
    <col min="10500" max="10500" width="42.140625" style="206" customWidth="1"/>
    <col min="10501" max="10501" width="0" style="206" hidden="1" customWidth="1"/>
    <col min="10502" max="10502" width="12.7109375" style="206" customWidth="1"/>
    <col min="10503" max="10503" width="13.5703125" style="206" customWidth="1"/>
    <col min="10504" max="10504" width="14" style="206" customWidth="1"/>
    <col min="10505" max="10505" width="13.85546875" style="206" customWidth="1"/>
    <col min="10506" max="10506" width="12.5703125" style="206" customWidth="1"/>
    <col min="10507" max="10509" width="12.7109375" style="206" customWidth="1"/>
    <col min="10510" max="10515" width="0" style="206" hidden="1" customWidth="1"/>
    <col min="10516" max="10516" width="12.140625" style="206" customWidth="1"/>
    <col min="10517" max="10517" width="15.140625" style="206" customWidth="1"/>
    <col min="10518" max="10544" width="8" style="206" customWidth="1"/>
    <col min="10545" max="10752" width="8" style="206"/>
    <col min="10753" max="10753" width="19" style="206" customWidth="1"/>
    <col min="10754" max="10754" width="0" style="206" hidden="1" customWidth="1"/>
    <col min="10755" max="10755" width="6" style="206" customWidth="1"/>
    <col min="10756" max="10756" width="42.140625" style="206" customWidth="1"/>
    <col min="10757" max="10757" width="0" style="206" hidden="1" customWidth="1"/>
    <col min="10758" max="10758" width="12.7109375" style="206" customWidth="1"/>
    <col min="10759" max="10759" width="13.5703125" style="206" customWidth="1"/>
    <col min="10760" max="10760" width="14" style="206" customWidth="1"/>
    <col min="10761" max="10761" width="13.85546875" style="206" customWidth="1"/>
    <col min="10762" max="10762" width="12.5703125" style="206" customWidth="1"/>
    <col min="10763" max="10765" width="12.7109375" style="206" customWidth="1"/>
    <col min="10766" max="10771" width="0" style="206" hidden="1" customWidth="1"/>
    <col min="10772" max="10772" width="12.140625" style="206" customWidth="1"/>
    <col min="10773" max="10773" width="15.140625" style="206" customWidth="1"/>
    <col min="10774" max="10800" width="8" style="206" customWidth="1"/>
    <col min="10801" max="11008" width="8" style="206"/>
    <col min="11009" max="11009" width="19" style="206" customWidth="1"/>
    <col min="11010" max="11010" width="0" style="206" hidden="1" customWidth="1"/>
    <col min="11011" max="11011" width="6" style="206" customWidth="1"/>
    <col min="11012" max="11012" width="42.140625" style="206" customWidth="1"/>
    <col min="11013" max="11013" width="0" style="206" hidden="1" customWidth="1"/>
    <col min="11014" max="11014" width="12.7109375" style="206" customWidth="1"/>
    <col min="11015" max="11015" width="13.5703125" style="206" customWidth="1"/>
    <col min="11016" max="11016" width="14" style="206" customWidth="1"/>
    <col min="11017" max="11017" width="13.85546875" style="206" customWidth="1"/>
    <col min="11018" max="11018" width="12.5703125" style="206" customWidth="1"/>
    <col min="11019" max="11021" width="12.7109375" style="206" customWidth="1"/>
    <col min="11022" max="11027" width="0" style="206" hidden="1" customWidth="1"/>
    <col min="11028" max="11028" width="12.140625" style="206" customWidth="1"/>
    <col min="11029" max="11029" width="15.140625" style="206" customWidth="1"/>
    <col min="11030" max="11056" width="8" style="206" customWidth="1"/>
    <col min="11057" max="11264" width="8" style="206"/>
    <col min="11265" max="11265" width="19" style="206" customWidth="1"/>
    <col min="11266" max="11266" width="0" style="206" hidden="1" customWidth="1"/>
    <col min="11267" max="11267" width="6" style="206" customWidth="1"/>
    <col min="11268" max="11268" width="42.140625" style="206" customWidth="1"/>
    <col min="11269" max="11269" width="0" style="206" hidden="1" customWidth="1"/>
    <col min="11270" max="11270" width="12.7109375" style="206" customWidth="1"/>
    <col min="11271" max="11271" width="13.5703125" style="206" customWidth="1"/>
    <col min="11272" max="11272" width="14" style="206" customWidth="1"/>
    <col min="11273" max="11273" width="13.85546875" style="206" customWidth="1"/>
    <col min="11274" max="11274" width="12.5703125" style="206" customWidth="1"/>
    <col min="11275" max="11277" width="12.7109375" style="206" customWidth="1"/>
    <col min="11278" max="11283" width="0" style="206" hidden="1" customWidth="1"/>
    <col min="11284" max="11284" width="12.140625" style="206" customWidth="1"/>
    <col min="11285" max="11285" width="15.140625" style="206" customWidth="1"/>
    <col min="11286" max="11312" width="8" style="206" customWidth="1"/>
    <col min="11313" max="11520" width="8" style="206"/>
    <col min="11521" max="11521" width="19" style="206" customWidth="1"/>
    <col min="11522" max="11522" width="0" style="206" hidden="1" customWidth="1"/>
    <col min="11523" max="11523" width="6" style="206" customWidth="1"/>
    <col min="11524" max="11524" width="42.140625" style="206" customWidth="1"/>
    <col min="11525" max="11525" width="0" style="206" hidden="1" customWidth="1"/>
    <col min="11526" max="11526" width="12.7109375" style="206" customWidth="1"/>
    <col min="11527" max="11527" width="13.5703125" style="206" customWidth="1"/>
    <col min="11528" max="11528" width="14" style="206" customWidth="1"/>
    <col min="11529" max="11529" width="13.85546875" style="206" customWidth="1"/>
    <col min="11530" max="11530" width="12.5703125" style="206" customWidth="1"/>
    <col min="11531" max="11533" width="12.7109375" style="206" customWidth="1"/>
    <col min="11534" max="11539" width="0" style="206" hidden="1" customWidth="1"/>
    <col min="11540" max="11540" width="12.140625" style="206" customWidth="1"/>
    <col min="11541" max="11541" width="15.140625" style="206" customWidth="1"/>
    <col min="11542" max="11568" width="8" style="206" customWidth="1"/>
    <col min="11569" max="11776" width="8" style="206"/>
    <col min="11777" max="11777" width="19" style="206" customWidth="1"/>
    <col min="11778" max="11778" width="0" style="206" hidden="1" customWidth="1"/>
    <col min="11779" max="11779" width="6" style="206" customWidth="1"/>
    <col min="11780" max="11780" width="42.140625" style="206" customWidth="1"/>
    <col min="11781" max="11781" width="0" style="206" hidden="1" customWidth="1"/>
    <col min="11782" max="11782" width="12.7109375" style="206" customWidth="1"/>
    <col min="11783" max="11783" width="13.5703125" style="206" customWidth="1"/>
    <col min="11784" max="11784" width="14" style="206" customWidth="1"/>
    <col min="11785" max="11785" width="13.85546875" style="206" customWidth="1"/>
    <col min="11786" max="11786" width="12.5703125" style="206" customWidth="1"/>
    <col min="11787" max="11789" width="12.7109375" style="206" customWidth="1"/>
    <col min="11790" max="11795" width="0" style="206" hidden="1" customWidth="1"/>
    <col min="11796" max="11796" width="12.140625" style="206" customWidth="1"/>
    <col min="11797" max="11797" width="15.140625" style="206" customWidth="1"/>
    <col min="11798" max="11824" width="8" style="206" customWidth="1"/>
    <col min="11825" max="12032" width="8" style="206"/>
    <col min="12033" max="12033" width="19" style="206" customWidth="1"/>
    <col min="12034" max="12034" width="0" style="206" hidden="1" customWidth="1"/>
    <col min="12035" max="12035" width="6" style="206" customWidth="1"/>
    <col min="12036" max="12036" width="42.140625" style="206" customWidth="1"/>
    <col min="12037" max="12037" width="0" style="206" hidden="1" customWidth="1"/>
    <col min="12038" max="12038" width="12.7109375" style="206" customWidth="1"/>
    <col min="12039" max="12039" width="13.5703125" style="206" customWidth="1"/>
    <col min="12040" max="12040" width="14" style="206" customWidth="1"/>
    <col min="12041" max="12041" width="13.85546875" style="206" customWidth="1"/>
    <col min="12042" max="12042" width="12.5703125" style="206" customWidth="1"/>
    <col min="12043" max="12045" width="12.7109375" style="206" customWidth="1"/>
    <col min="12046" max="12051" width="0" style="206" hidden="1" customWidth="1"/>
    <col min="12052" max="12052" width="12.140625" style="206" customWidth="1"/>
    <col min="12053" max="12053" width="15.140625" style="206" customWidth="1"/>
    <col min="12054" max="12080" width="8" style="206" customWidth="1"/>
    <col min="12081" max="12288" width="8" style="206"/>
    <col min="12289" max="12289" width="19" style="206" customWidth="1"/>
    <col min="12290" max="12290" width="0" style="206" hidden="1" customWidth="1"/>
    <col min="12291" max="12291" width="6" style="206" customWidth="1"/>
    <col min="12292" max="12292" width="42.140625" style="206" customWidth="1"/>
    <col min="12293" max="12293" width="0" style="206" hidden="1" customWidth="1"/>
    <col min="12294" max="12294" width="12.7109375" style="206" customWidth="1"/>
    <col min="12295" max="12295" width="13.5703125" style="206" customWidth="1"/>
    <col min="12296" max="12296" width="14" style="206" customWidth="1"/>
    <col min="12297" max="12297" width="13.85546875" style="206" customWidth="1"/>
    <col min="12298" max="12298" width="12.5703125" style="206" customWidth="1"/>
    <col min="12299" max="12301" width="12.7109375" style="206" customWidth="1"/>
    <col min="12302" max="12307" width="0" style="206" hidden="1" customWidth="1"/>
    <col min="12308" max="12308" width="12.140625" style="206" customWidth="1"/>
    <col min="12309" max="12309" width="15.140625" style="206" customWidth="1"/>
    <col min="12310" max="12336" width="8" style="206" customWidth="1"/>
    <col min="12337" max="12544" width="8" style="206"/>
    <col min="12545" max="12545" width="19" style="206" customWidth="1"/>
    <col min="12546" max="12546" width="0" style="206" hidden="1" customWidth="1"/>
    <col min="12547" max="12547" width="6" style="206" customWidth="1"/>
    <col min="12548" max="12548" width="42.140625" style="206" customWidth="1"/>
    <col min="12549" max="12549" width="0" style="206" hidden="1" customWidth="1"/>
    <col min="12550" max="12550" width="12.7109375" style="206" customWidth="1"/>
    <col min="12551" max="12551" width="13.5703125" style="206" customWidth="1"/>
    <col min="12552" max="12552" width="14" style="206" customWidth="1"/>
    <col min="12553" max="12553" width="13.85546875" style="206" customWidth="1"/>
    <col min="12554" max="12554" width="12.5703125" style="206" customWidth="1"/>
    <col min="12555" max="12557" width="12.7109375" style="206" customWidth="1"/>
    <col min="12558" max="12563" width="0" style="206" hidden="1" customWidth="1"/>
    <col min="12564" max="12564" width="12.140625" style="206" customWidth="1"/>
    <col min="12565" max="12565" width="15.140625" style="206" customWidth="1"/>
    <col min="12566" max="12592" width="8" style="206" customWidth="1"/>
    <col min="12593" max="12800" width="8" style="206"/>
    <col min="12801" max="12801" width="19" style="206" customWidth="1"/>
    <col min="12802" max="12802" width="0" style="206" hidden="1" customWidth="1"/>
    <col min="12803" max="12803" width="6" style="206" customWidth="1"/>
    <col min="12804" max="12804" width="42.140625" style="206" customWidth="1"/>
    <col min="12805" max="12805" width="0" style="206" hidden="1" customWidth="1"/>
    <col min="12806" max="12806" width="12.7109375" style="206" customWidth="1"/>
    <col min="12807" max="12807" width="13.5703125" style="206" customWidth="1"/>
    <col min="12808" max="12808" width="14" style="206" customWidth="1"/>
    <col min="12809" max="12809" width="13.85546875" style="206" customWidth="1"/>
    <col min="12810" max="12810" width="12.5703125" style="206" customWidth="1"/>
    <col min="12811" max="12813" width="12.7109375" style="206" customWidth="1"/>
    <col min="12814" max="12819" width="0" style="206" hidden="1" customWidth="1"/>
    <col min="12820" max="12820" width="12.140625" style="206" customWidth="1"/>
    <col min="12821" max="12821" width="15.140625" style="206" customWidth="1"/>
    <col min="12822" max="12848" width="8" style="206" customWidth="1"/>
    <col min="12849" max="13056" width="8" style="206"/>
    <col min="13057" max="13057" width="19" style="206" customWidth="1"/>
    <col min="13058" max="13058" width="0" style="206" hidden="1" customWidth="1"/>
    <col min="13059" max="13059" width="6" style="206" customWidth="1"/>
    <col min="13060" max="13060" width="42.140625" style="206" customWidth="1"/>
    <col min="13061" max="13061" width="0" style="206" hidden="1" customWidth="1"/>
    <col min="13062" max="13062" width="12.7109375" style="206" customWidth="1"/>
    <col min="13063" max="13063" width="13.5703125" style="206" customWidth="1"/>
    <col min="13064" max="13064" width="14" style="206" customWidth="1"/>
    <col min="13065" max="13065" width="13.85546875" style="206" customWidth="1"/>
    <col min="13066" max="13066" width="12.5703125" style="206" customWidth="1"/>
    <col min="13067" max="13069" width="12.7109375" style="206" customWidth="1"/>
    <col min="13070" max="13075" width="0" style="206" hidden="1" customWidth="1"/>
    <col min="13076" max="13076" width="12.140625" style="206" customWidth="1"/>
    <col min="13077" max="13077" width="15.140625" style="206" customWidth="1"/>
    <col min="13078" max="13104" width="8" style="206" customWidth="1"/>
    <col min="13105" max="13312" width="8" style="206"/>
    <col min="13313" max="13313" width="19" style="206" customWidth="1"/>
    <col min="13314" max="13314" width="0" style="206" hidden="1" customWidth="1"/>
    <col min="13315" max="13315" width="6" style="206" customWidth="1"/>
    <col min="13316" max="13316" width="42.140625" style="206" customWidth="1"/>
    <col min="13317" max="13317" width="0" style="206" hidden="1" customWidth="1"/>
    <col min="13318" max="13318" width="12.7109375" style="206" customWidth="1"/>
    <col min="13319" max="13319" width="13.5703125" style="206" customWidth="1"/>
    <col min="13320" max="13320" width="14" style="206" customWidth="1"/>
    <col min="13321" max="13321" width="13.85546875" style="206" customWidth="1"/>
    <col min="13322" max="13322" width="12.5703125" style="206" customWidth="1"/>
    <col min="13323" max="13325" width="12.7109375" style="206" customWidth="1"/>
    <col min="13326" max="13331" width="0" style="206" hidden="1" customWidth="1"/>
    <col min="13332" max="13332" width="12.140625" style="206" customWidth="1"/>
    <col min="13333" max="13333" width="15.140625" style="206" customWidth="1"/>
    <col min="13334" max="13360" width="8" style="206" customWidth="1"/>
    <col min="13361" max="13568" width="8" style="206"/>
    <col min="13569" max="13569" width="19" style="206" customWidth="1"/>
    <col min="13570" max="13570" width="0" style="206" hidden="1" customWidth="1"/>
    <col min="13571" max="13571" width="6" style="206" customWidth="1"/>
    <col min="13572" max="13572" width="42.140625" style="206" customWidth="1"/>
    <col min="13573" max="13573" width="0" style="206" hidden="1" customWidth="1"/>
    <col min="13574" max="13574" width="12.7109375" style="206" customWidth="1"/>
    <col min="13575" max="13575" width="13.5703125" style="206" customWidth="1"/>
    <col min="13576" max="13576" width="14" style="206" customWidth="1"/>
    <col min="13577" max="13577" width="13.85546875" style="206" customWidth="1"/>
    <col min="13578" max="13578" width="12.5703125" style="206" customWidth="1"/>
    <col min="13579" max="13581" width="12.7109375" style="206" customWidth="1"/>
    <col min="13582" max="13587" width="0" style="206" hidden="1" customWidth="1"/>
    <col min="13588" max="13588" width="12.140625" style="206" customWidth="1"/>
    <col min="13589" max="13589" width="15.140625" style="206" customWidth="1"/>
    <col min="13590" max="13616" width="8" style="206" customWidth="1"/>
    <col min="13617" max="13824" width="8" style="206"/>
    <col min="13825" max="13825" width="19" style="206" customWidth="1"/>
    <col min="13826" max="13826" width="0" style="206" hidden="1" customWidth="1"/>
    <col min="13827" max="13827" width="6" style="206" customWidth="1"/>
    <col min="13828" max="13828" width="42.140625" style="206" customWidth="1"/>
    <col min="13829" max="13829" width="0" style="206" hidden="1" customWidth="1"/>
    <col min="13830" max="13830" width="12.7109375" style="206" customWidth="1"/>
    <col min="13831" max="13831" width="13.5703125" style="206" customWidth="1"/>
    <col min="13832" max="13832" width="14" style="206" customWidth="1"/>
    <col min="13833" max="13833" width="13.85546875" style="206" customWidth="1"/>
    <col min="13834" max="13834" width="12.5703125" style="206" customWidth="1"/>
    <col min="13835" max="13837" width="12.7109375" style="206" customWidth="1"/>
    <col min="13838" max="13843" width="0" style="206" hidden="1" customWidth="1"/>
    <col min="13844" max="13844" width="12.140625" style="206" customWidth="1"/>
    <col min="13845" max="13845" width="15.140625" style="206" customWidth="1"/>
    <col min="13846" max="13872" width="8" style="206" customWidth="1"/>
    <col min="13873" max="14080" width="8" style="206"/>
    <col min="14081" max="14081" width="19" style="206" customWidth="1"/>
    <col min="14082" max="14082" width="0" style="206" hidden="1" customWidth="1"/>
    <col min="14083" max="14083" width="6" style="206" customWidth="1"/>
    <col min="14084" max="14084" width="42.140625" style="206" customWidth="1"/>
    <col min="14085" max="14085" width="0" style="206" hidden="1" customWidth="1"/>
    <col min="14086" max="14086" width="12.7109375" style="206" customWidth="1"/>
    <col min="14087" max="14087" width="13.5703125" style="206" customWidth="1"/>
    <col min="14088" max="14088" width="14" style="206" customWidth="1"/>
    <col min="14089" max="14089" width="13.85546875" style="206" customWidth="1"/>
    <col min="14090" max="14090" width="12.5703125" style="206" customWidth="1"/>
    <col min="14091" max="14093" width="12.7109375" style="206" customWidth="1"/>
    <col min="14094" max="14099" width="0" style="206" hidden="1" customWidth="1"/>
    <col min="14100" max="14100" width="12.140625" style="206" customWidth="1"/>
    <col min="14101" max="14101" width="15.140625" style="206" customWidth="1"/>
    <col min="14102" max="14128" width="8" style="206" customWidth="1"/>
    <col min="14129" max="14336" width="8" style="206"/>
    <col min="14337" max="14337" width="19" style="206" customWidth="1"/>
    <col min="14338" max="14338" width="0" style="206" hidden="1" customWidth="1"/>
    <col min="14339" max="14339" width="6" style="206" customWidth="1"/>
    <col min="14340" max="14340" width="42.140625" style="206" customWidth="1"/>
    <col min="14341" max="14341" width="0" style="206" hidden="1" customWidth="1"/>
    <col min="14342" max="14342" width="12.7109375" style="206" customWidth="1"/>
    <col min="14343" max="14343" width="13.5703125" style="206" customWidth="1"/>
    <col min="14344" max="14344" width="14" style="206" customWidth="1"/>
    <col min="14345" max="14345" width="13.85546875" style="206" customWidth="1"/>
    <col min="14346" max="14346" width="12.5703125" style="206" customWidth="1"/>
    <col min="14347" max="14349" width="12.7109375" style="206" customWidth="1"/>
    <col min="14350" max="14355" width="0" style="206" hidden="1" customWidth="1"/>
    <col min="14356" max="14356" width="12.140625" style="206" customWidth="1"/>
    <col min="14357" max="14357" width="15.140625" style="206" customWidth="1"/>
    <col min="14358" max="14384" width="8" style="206" customWidth="1"/>
    <col min="14385" max="14592" width="8" style="206"/>
    <col min="14593" max="14593" width="19" style="206" customWidth="1"/>
    <col min="14594" max="14594" width="0" style="206" hidden="1" customWidth="1"/>
    <col min="14595" max="14595" width="6" style="206" customWidth="1"/>
    <col min="14596" max="14596" width="42.140625" style="206" customWidth="1"/>
    <col min="14597" max="14597" width="0" style="206" hidden="1" customWidth="1"/>
    <col min="14598" max="14598" width="12.7109375" style="206" customWidth="1"/>
    <col min="14599" max="14599" width="13.5703125" style="206" customWidth="1"/>
    <col min="14600" max="14600" width="14" style="206" customWidth="1"/>
    <col min="14601" max="14601" width="13.85546875" style="206" customWidth="1"/>
    <col min="14602" max="14602" width="12.5703125" style="206" customWidth="1"/>
    <col min="14603" max="14605" width="12.7109375" style="206" customWidth="1"/>
    <col min="14606" max="14611" width="0" style="206" hidden="1" customWidth="1"/>
    <col min="14612" max="14612" width="12.140625" style="206" customWidth="1"/>
    <col min="14613" max="14613" width="15.140625" style="206" customWidth="1"/>
    <col min="14614" max="14640" width="8" style="206" customWidth="1"/>
    <col min="14641" max="14848" width="8" style="206"/>
    <col min="14849" max="14849" width="19" style="206" customWidth="1"/>
    <col min="14850" max="14850" width="0" style="206" hidden="1" customWidth="1"/>
    <col min="14851" max="14851" width="6" style="206" customWidth="1"/>
    <col min="14852" max="14852" width="42.140625" style="206" customWidth="1"/>
    <col min="14853" max="14853" width="0" style="206" hidden="1" customWidth="1"/>
    <col min="14854" max="14854" width="12.7109375" style="206" customWidth="1"/>
    <col min="14855" max="14855" width="13.5703125" style="206" customWidth="1"/>
    <col min="14856" max="14856" width="14" style="206" customWidth="1"/>
    <col min="14857" max="14857" width="13.85546875" style="206" customWidth="1"/>
    <col min="14858" max="14858" width="12.5703125" style="206" customWidth="1"/>
    <col min="14859" max="14861" width="12.7109375" style="206" customWidth="1"/>
    <col min="14862" max="14867" width="0" style="206" hidden="1" customWidth="1"/>
    <col min="14868" max="14868" width="12.140625" style="206" customWidth="1"/>
    <col min="14869" max="14869" width="15.140625" style="206" customWidth="1"/>
    <col min="14870" max="14896" width="8" style="206" customWidth="1"/>
    <col min="14897" max="15104" width="8" style="206"/>
    <col min="15105" max="15105" width="19" style="206" customWidth="1"/>
    <col min="15106" max="15106" width="0" style="206" hidden="1" customWidth="1"/>
    <col min="15107" max="15107" width="6" style="206" customWidth="1"/>
    <col min="15108" max="15108" width="42.140625" style="206" customWidth="1"/>
    <col min="15109" max="15109" width="0" style="206" hidden="1" customWidth="1"/>
    <col min="15110" max="15110" width="12.7109375" style="206" customWidth="1"/>
    <col min="15111" max="15111" width="13.5703125" style="206" customWidth="1"/>
    <col min="15112" max="15112" width="14" style="206" customWidth="1"/>
    <col min="15113" max="15113" width="13.85546875" style="206" customWidth="1"/>
    <col min="15114" max="15114" width="12.5703125" style="206" customWidth="1"/>
    <col min="15115" max="15117" width="12.7109375" style="206" customWidth="1"/>
    <col min="15118" max="15123" width="0" style="206" hidden="1" customWidth="1"/>
    <col min="15124" max="15124" width="12.140625" style="206" customWidth="1"/>
    <col min="15125" max="15125" width="15.140625" style="206" customWidth="1"/>
    <col min="15126" max="15152" width="8" style="206" customWidth="1"/>
    <col min="15153" max="15360" width="8" style="206"/>
    <col min="15361" max="15361" width="19" style="206" customWidth="1"/>
    <col min="15362" max="15362" width="0" style="206" hidden="1" customWidth="1"/>
    <col min="15363" max="15363" width="6" style="206" customWidth="1"/>
    <col min="15364" max="15364" width="42.140625" style="206" customWidth="1"/>
    <col min="15365" max="15365" width="0" style="206" hidden="1" customWidth="1"/>
    <col min="15366" max="15366" width="12.7109375" style="206" customWidth="1"/>
    <col min="15367" max="15367" width="13.5703125" style="206" customWidth="1"/>
    <col min="15368" max="15368" width="14" style="206" customWidth="1"/>
    <col min="15369" max="15369" width="13.85546875" style="206" customWidth="1"/>
    <col min="15370" max="15370" width="12.5703125" style="206" customWidth="1"/>
    <col min="15371" max="15373" width="12.7109375" style="206" customWidth="1"/>
    <col min="15374" max="15379" width="0" style="206" hidden="1" customWidth="1"/>
    <col min="15380" max="15380" width="12.140625" style="206" customWidth="1"/>
    <col min="15381" max="15381" width="15.140625" style="206" customWidth="1"/>
    <col min="15382" max="15408" width="8" style="206" customWidth="1"/>
    <col min="15409" max="15616" width="8" style="206"/>
    <col min="15617" max="15617" width="19" style="206" customWidth="1"/>
    <col min="15618" max="15618" width="0" style="206" hidden="1" customWidth="1"/>
    <col min="15619" max="15619" width="6" style="206" customWidth="1"/>
    <col min="15620" max="15620" width="42.140625" style="206" customWidth="1"/>
    <col min="15621" max="15621" width="0" style="206" hidden="1" customWidth="1"/>
    <col min="15622" max="15622" width="12.7109375" style="206" customWidth="1"/>
    <col min="15623" max="15623" width="13.5703125" style="206" customWidth="1"/>
    <col min="15624" max="15624" width="14" style="206" customWidth="1"/>
    <col min="15625" max="15625" width="13.85546875" style="206" customWidth="1"/>
    <col min="15626" max="15626" width="12.5703125" style="206" customWidth="1"/>
    <col min="15627" max="15629" width="12.7109375" style="206" customWidth="1"/>
    <col min="15630" max="15635" width="0" style="206" hidden="1" customWidth="1"/>
    <col min="15636" max="15636" width="12.140625" style="206" customWidth="1"/>
    <col min="15637" max="15637" width="15.140625" style="206" customWidth="1"/>
    <col min="15638" max="15664" width="8" style="206" customWidth="1"/>
    <col min="15665" max="15872" width="8" style="206"/>
    <col min="15873" max="15873" width="19" style="206" customWidth="1"/>
    <col min="15874" max="15874" width="0" style="206" hidden="1" customWidth="1"/>
    <col min="15875" max="15875" width="6" style="206" customWidth="1"/>
    <col min="15876" max="15876" width="42.140625" style="206" customWidth="1"/>
    <col min="15877" max="15877" width="0" style="206" hidden="1" customWidth="1"/>
    <col min="15878" max="15878" width="12.7109375" style="206" customWidth="1"/>
    <col min="15879" max="15879" width="13.5703125" style="206" customWidth="1"/>
    <col min="15880" max="15880" width="14" style="206" customWidth="1"/>
    <col min="15881" max="15881" width="13.85546875" style="206" customWidth="1"/>
    <col min="15882" max="15882" width="12.5703125" style="206" customWidth="1"/>
    <col min="15883" max="15885" width="12.7109375" style="206" customWidth="1"/>
    <col min="15886" max="15891" width="0" style="206" hidden="1" customWidth="1"/>
    <col min="15892" max="15892" width="12.140625" style="206" customWidth="1"/>
    <col min="15893" max="15893" width="15.140625" style="206" customWidth="1"/>
    <col min="15894" max="15920" width="8" style="206" customWidth="1"/>
    <col min="15921" max="16128" width="8" style="206"/>
    <col min="16129" max="16129" width="19" style="206" customWidth="1"/>
    <col min="16130" max="16130" width="0" style="206" hidden="1" customWidth="1"/>
    <col min="16131" max="16131" width="6" style="206" customWidth="1"/>
    <col min="16132" max="16132" width="42.140625" style="206" customWidth="1"/>
    <col min="16133" max="16133" width="0" style="206" hidden="1" customWidth="1"/>
    <col min="16134" max="16134" width="12.7109375" style="206" customWidth="1"/>
    <col min="16135" max="16135" width="13.5703125" style="206" customWidth="1"/>
    <col min="16136" max="16136" width="14" style="206" customWidth="1"/>
    <col min="16137" max="16137" width="13.85546875" style="206" customWidth="1"/>
    <col min="16138" max="16138" width="12.5703125" style="206" customWidth="1"/>
    <col min="16139" max="16141" width="12.7109375" style="206" customWidth="1"/>
    <col min="16142" max="16147" width="0" style="206" hidden="1" customWidth="1"/>
    <col min="16148" max="16148" width="12.140625" style="206" customWidth="1"/>
    <col min="16149" max="16149" width="15.140625" style="206" customWidth="1"/>
    <col min="16150" max="16176" width="8" style="206" customWidth="1"/>
    <col min="16177" max="16384" width="8" style="206"/>
  </cols>
  <sheetData>
    <row r="1" spans="1:48" s="105" customFormat="1" ht="81" customHeight="1" x14ac:dyDescent="0.25">
      <c r="C1" s="106"/>
      <c r="D1" s="107"/>
      <c r="E1" s="108"/>
      <c r="F1" s="107"/>
      <c r="G1" s="107"/>
      <c r="H1" s="107"/>
      <c r="I1" s="107"/>
      <c r="J1" s="109"/>
      <c r="K1" s="359"/>
      <c r="L1" s="359"/>
      <c r="M1" s="359"/>
      <c r="N1" s="360" t="s">
        <v>665</v>
      </c>
      <c r="O1" s="360"/>
      <c r="P1" s="360"/>
    </row>
    <row r="2" spans="1:48" s="105" customFormat="1" ht="43.5" customHeight="1" x14ac:dyDescent="0.25">
      <c r="B2" s="110"/>
      <c r="C2" s="361" t="s">
        <v>521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2"/>
      <c r="O2" s="111"/>
      <c r="P2" s="111"/>
    </row>
    <row r="3" spans="1:48" s="105" customFormat="1" ht="16.5" thickBot="1" x14ac:dyDescent="0.3">
      <c r="C3" s="112"/>
      <c r="D3" s="113"/>
      <c r="E3" s="114"/>
      <c r="F3" s="115"/>
      <c r="G3" s="115"/>
      <c r="H3" s="115"/>
      <c r="I3" s="115"/>
      <c r="J3" s="115"/>
      <c r="K3" s="115"/>
      <c r="L3" s="115"/>
      <c r="M3" s="116"/>
      <c r="N3" s="117"/>
      <c r="O3" s="117"/>
      <c r="P3" s="117" t="s">
        <v>352</v>
      </c>
    </row>
    <row r="4" spans="1:48" s="124" customFormat="1" ht="19.5" thickBot="1" x14ac:dyDescent="0.35">
      <c r="A4" s="118"/>
      <c r="B4" s="119"/>
      <c r="C4" s="120"/>
      <c r="D4" s="363" t="s">
        <v>480</v>
      </c>
      <c r="E4" s="365" t="s">
        <v>481</v>
      </c>
      <c r="F4" s="366" t="s">
        <v>369</v>
      </c>
      <c r="G4" s="368" t="s">
        <v>482</v>
      </c>
      <c r="H4" s="369"/>
      <c r="I4" s="369"/>
      <c r="J4" s="369"/>
      <c r="K4" s="369"/>
      <c r="L4" s="369"/>
      <c r="M4" s="369"/>
      <c r="N4" s="369"/>
      <c r="O4" s="369"/>
      <c r="P4" s="370"/>
      <c r="Q4" s="121"/>
      <c r="R4" s="122"/>
      <c r="S4" s="119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</row>
    <row r="5" spans="1:48" s="136" customFormat="1" ht="42" customHeight="1" thickBot="1" x14ac:dyDescent="0.3">
      <c r="A5" s="125"/>
      <c r="B5" s="126"/>
      <c r="C5" s="127"/>
      <c r="D5" s="364"/>
      <c r="E5" s="365"/>
      <c r="F5" s="367"/>
      <c r="G5" s="128" t="s">
        <v>483</v>
      </c>
      <c r="H5" s="129" t="s">
        <v>484</v>
      </c>
      <c r="I5" s="130" t="s">
        <v>485</v>
      </c>
      <c r="J5" s="130" t="s">
        <v>486</v>
      </c>
      <c r="K5" s="130" t="s">
        <v>487</v>
      </c>
      <c r="L5" s="130" t="s">
        <v>488</v>
      </c>
      <c r="M5" s="130" t="s">
        <v>489</v>
      </c>
      <c r="N5" s="130" t="s">
        <v>490</v>
      </c>
      <c r="O5" s="131" t="s">
        <v>491</v>
      </c>
      <c r="P5" s="132" t="s">
        <v>492</v>
      </c>
      <c r="Q5" s="133"/>
      <c r="R5" s="134"/>
      <c r="S5" s="126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</row>
    <row r="6" spans="1:48" s="142" customFormat="1" ht="18.75" x14ac:dyDescent="0.3">
      <c r="A6" s="137"/>
      <c r="B6" s="138"/>
      <c r="C6" s="139" t="s">
        <v>493</v>
      </c>
      <c r="D6" s="140" t="s">
        <v>494</v>
      </c>
      <c r="E6" s="141"/>
      <c r="F6" s="140">
        <v>1</v>
      </c>
      <c r="G6" s="140">
        <v>2</v>
      </c>
      <c r="H6" s="140">
        <f>G6+1</f>
        <v>3</v>
      </c>
      <c r="I6" s="140">
        <f t="shared" ref="I6:O6" si="0">H6+1</f>
        <v>4</v>
      </c>
      <c r="J6" s="140">
        <f t="shared" si="0"/>
        <v>5</v>
      </c>
      <c r="K6" s="140">
        <f t="shared" si="0"/>
        <v>6</v>
      </c>
      <c r="L6" s="140">
        <f t="shared" si="0"/>
        <v>7</v>
      </c>
      <c r="M6" s="140">
        <f t="shared" si="0"/>
        <v>8</v>
      </c>
      <c r="N6" s="140">
        <f t="shared" si="0"/>
        <v>9</v>
      </c>
      <c r="O6" s="140">
        <f t="shared" si="0"/>
        <v>10</v>
      </c>
      <c r="P6" s="140">
        <v>11</v>
      </c>
      <c r="S6" s="138"/>
      <c r="T6" s="143"/>
      <c r="U6" s="14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</row>
    <row r="7" spans="1:48" s="155" customFormat="1" ht="15.75" hidden="1" x14ac:dyDescent="0.25">
      <c r="A7" s="144"/>
      <c r="B7" s="145"/>
      <c r="C7" s="146" t="s">
        <v>495</v>
      </c>
      <c r="D7" s="147" t="s">
        <v>496</v>
      </c>
      <c r="E7" s="148"/>
      <c r="F7" s="149">
        <f>SUM(G7:P7)</f>
        <v>0</v>
      </c>
      <c r="G7" s="150">
        <f>G8</f>
        <v>0</v>
      </c>
      <c r="H7" s="151">
        <f t="shared" ref="H7:P8" si="1">H8</f>
        <v>0</v>
      </c>
      <c r="I7" s="151">
        <f t="shared" si="1"/>
        <v>0</v>
      </c>
      <c r="J7" s="151">
        <f t="shared" si="1"/>
        <v>0</v>
      </c>
      <c r="K7" s="151">
        <f t="shared" si="1"/>
        <v>0</v>
      </c>
      <c r="L7" s="151">
        <f t="shared" si="1"/>
        <v>0</v>
      </c>
      <c r="M7" s="151">
        <f t="shared" si="1"/>
        <v>0</v>
      </c>
      <c r="N7" s="151">
        <f t="shared" si="1"/>
        <v>0</v>
      </c>
      <c r="O7" s="151">
        <f t="shared" si="1"/>
        <v>0</v>
      </c>
      <c r="P7" s="151">
        <f t="shared" si="1"/>
        <v>0</v>
      </c>
      <c r="Q7" s="152"/>
      <c r="R7" s="152"/>
      <c r="S7" s="153"/>
      <c r="T7" s="154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</row>
    <row r="8" spans="1:48" s="155" customFormat="1" ht="38.25" hidden="1" customHeight="1" thickBot="1" x14ac:dyDescent="0.3">
      <c r="A8" s="144"/>
      <c r="B8" s="145"/>
      <c r="C8" s="146" t="s">
        <v>497</v>
      </c>
      <c r="D8" s="147" t="s">
        <v>498</v>
      </c>
      <c r="E8" s="148"/>
      <c r="F8" s="149">
        <f>SUM(G8:P8)</f>
        <v>0</v>
      </c>
      <c r="G8" s="150">
        <f>G9</f>
        <v>0</v>
      </c>
      <c r="H8" s="151">
        <f t="shared" si="1"/>
        <v>0</v>
      </c>
      <c r="I8" s="151">
        <f t="shared" si="1"/>
        <v>0</v>
      </c>
      <c r="J8" s="151">
        <f t="shared" si="1"/>
        <v>0</v>
      </c>
      <c r="K8" s="151">
        <f t="shared" si="1"/>
        <v>0</v>
      </c>
      <c r="L8" s="151">
        <f t="shared" si="1"/>
        <v>0</v>
      </c>
      <c r="M8" s="151">
        <f t="shared" si="1"/>
        <v>0</v>
      </c>
      <c r="N8" s="151">
        <f t="shared" si="1"/>
        <v>0</v>
      </c>
      <c r="O8" s="151">
        <f t="shared" si="1"/>
        <v>0</v>
      </c>
      <c r="P8" s="151">
        <f t="shared" si="1"/>
        <v>0</v>
      </c>
      <c r="Q8" s="156" t="e">
        <f>#REF!+Q9</f>
        <v>#REF!</v>
      </c>
      <c r="R8" s="156" t="e">
        <f>#REF!+R9</f>
        <v>#REF!</v>
      </c>
      <c r="S8" s="153"/>
      <c r="T8" s="154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</row>
    <row r="9" spans="1:48" s="162" customFormat="1" ht="38.25" hidden="1" customHeight="1" thickBot="1" x14ac:dyDescent="0.35">
      <c r="A9" s="157"/>
      <c r="B9" s="158"/>
      <c r="C9" s="146" t="s">
        <v>499</v>
      </c>
      <c r="D9" s="159" t="s">
        <v>500</v>
      </c>
      <c r="E9" s="141"/>
      <c r="F9" s="252">
        <f>SUM(G9:P9)</f>
        <v>0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1"/>
      <c r="R9" s="161"/>
      <c r="S9" s="123"/>
      <c r="T9" s="14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</row>
    <row r="10" spans="1:48" s="155" customFormat="1" ht="38.25" customHeight="1" x14ac:dyDescent="0.25">
      <c r="A10" s="144"/>
      <c r="B10" s="145"/>
      <c r="C10" s="163" t="s">
        <v>501</v>
      </c>
      <c r="D10" s="147" t="s">
        <v>20</v>
      </c>
      <c r="E10" s="164"/>
      <c r="F10" s="191">
        <f>SUM(G10:P10)+F24</f>
        <v>41718.783430000003</v>
      </c>
      <c r="G10" s="165">
        <f>G11+G14+G18</f>
        <v>4216.3599999999997</v>
      </c>
      <c r="H10" s="165">
        <f t="shared" ref="H10:S10" si="2">H11+H14+H18</f>
        <v>6200.8364299999994</v>
      </c>
      <c r="I10" s="165">
        <f t="shared" si="2"/>
        <v>3249.5810000000001</v>
      </c>
      <c r="J10" s="165">
        <f t="shared" si="2"/>
        <v>4404.4219999999996</v>
      </c>
      <c r="K10" s="165">
        <f t="shared" si="2"/>
        <v>2717.0380000000005</v>
      </c>
      <c r="L10" s="165">
        <f t="shared" si="2"/>
        <v>3191.5080000000003</v>
      </c>
      <c r="M10" s="165">
        <f t="shared" si="2"/>
        <v>3251.7450000000003</v>
      </c>
      <c r="N10" s="165">
        <f t="shared" si="2"/>
        <v>4261.0329999999994</v>
      </c>
      <c r="O10" s="165">
        <f t="shared" si="2"/>
        <v>7141.83</v>
      </c>
      <c r="P10" s="165">
        <f t="shared" si="2"/>
        <v>3084.43</v>
      </c>
      <c r="Q10" s="165">
        <f t="shared" si="2"/>
        <v>0</v>
      </c>
      <c r="R10" s="165">
        <f t="shared" si="2"/>
        <v>0</v>
      </c>
      <c r="S10" s="165">
        <f t="shared" si="2"/>
        <v>0</v>
      </c>
      <c r="T10" s="154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</row>
    <row r="11" spans="1:48" s="173" customFormat="1" ht="38.25" customHeight="1" x14ac:dyDescent="0.2">
      <c r="A11" s="166"/>
      <c r="B11" s="167"/>
      <c r="C11" s="163" t="s">
        <v>502</v>
      </c>
      <c r="D11" s="168" t="s">
        <v>503</v>
      </c>
      <c r="E11" s="169"/>
      <c r="F11" s="191">
        <f t="shared" ref="F11:F18" si="3">SUM(G11:P11)</f>
        <v>25963.499999999996</v>
      </c>
      <c r="G11" s="165">
        <f>SUM(G12:G13)</f>
        <v>2957.2699999999995</v>
      </c>
      <c r="H11" s="165">
        <f t="shared" ref="H11:P11" si="4">SUM(H12:H13)</f>
        <v>3253.87</v>
      </c>
      <c r="I11" s="165">
        <f t="shared" si="4"/>
        <v>2178.8000000000002</v>
      </c>
      <c r="J11" s="165">
        <f t="shared" si="4"/>
        <v>2566.8300000000004</v>
      </c>
      <c r="K11" s="165">
        <f t="shared" si="4"/>
        <v>1838.0900000000001</v>
      </c>
      <c r="L11" s="165">
        <f t="shared" si="4"/>
        <v>2233.87</v>
      </c>
      <c r="M11" s="165">
        <f t="shared" si="4"/>
        <v>2291.96</v>
      </c>
      <c r="N11" s="165">
        <f t="shared" si="4"/>
        <v>2595.91</v>
      </c>
      <c r="O11" s="165">
        <f t="shared" si="4"/>
        <v>4940.78</v>
      </c>
      <c r="P11" s="165">
        <f t="shared" si="4"/>
        <v>1106.1199999999999</v>
      </c>
      <c r="Q11" s="170"/>
      <c r="R11" s="170"/>
      <c r="S11" s="171"/>
      <c r="T11" s="172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</row>
    <row r="12" spans="1:48" s="155" customFormat="1" ht="38.25" customHeight="1" thickBot="1" x14ac:dyDescent="0.3">
      <c r="A12" s="144"/>
      <c r="B12" s="145"/>
      <c r="C12" s="146" t="s">
        <v>504</v>
      </c>
      <c r="D12" s="174" t="s">
        <v>505</v>
      </c>
      <c r="E12" s="175">
        <v>20857.12</v>
      </c>
      <c r="F12" s="250">
        <f t="shared" si="3"/>
        <v>20106.999999999996</v>
      </c>
      <c r="G12" s="176">
        <v>2273.9699999999998</v>
      </c>
      <c r="H12" s="176">
        <v>3253.87</v>
      </c>
      <c r="I12" s="176">
        <v>1632.3</v>
      </c>
      <c r="J12" s="176">
        <v>2109.0300000000002</v>
      </c>
      <c r="K12" s="176">
        <v>1492.99</v>
      </c>
      <c r="L12" s="176">
        <v>1908.47</v>
      </c>
      <c r="M12" s="176">
        <v>1609.56</v>
      </c>
      <c r="N12" s="177">
        <v>1683.11</v>
      </c>
      <c r="O12" s="177">
        <v>3037.58</v>
      </c>
      <c r="P12" s="177">
        <v>1106.1199999999999</v>
      </c>
      <c r="Q12" s="178"/>
      <c r="R12" s="178"/>
      <c r="S12" s="179"/>
      <c r="T12" s="154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</row>
    <row r="13" spans="1:48" s="155" customFormat="1" ht="38.25" customHeight="1" x14ac:dyDescent="0.25">
      <c r="A13" s="144"/>
      <c r="B13" s="145"/>
      <c r="C13" s="146" t="s">
        <v>506</v>
      </c>
      <c r="D13" s="180" t="s">
        <v>507</v>
      </c>
      <c r="E13" s="148"/>
      <c r="F13" s="251">
        <f t="shared" si="3"/>
        <v>5856.5</v>
      </c>
      <c r="G13" s="214">
        <v>683.3</v>
      </c>
      <c r="H13" s="213">
        <v>0</v>
      </c>
      <c r="I13" s="213">
        <v>546.5</v>
      </c>
      <c r="J13" s="213">
        <v>457.8</v>
      </c>
      <c r="K13" s="213">
        <v>345.1</v>
      </c>
      <c r="L13" s="215">
        <v>325.39999999999998</v>
      </c>
      <c r="M13" s="215">
        <v>682.4</v>
      </c>
      <c r="N13" s="215">
        <v>912.8</v>
      </c>
      <c r="O13" s="215">
        <v>1903.2</v>
      </c>
      <c r="P13" s="213"/>
      <c r="Q13" s="181"/>
      <c r="R13" s="182"/>
      <c r="S13" s="153"/>
      <c r="T13" s="154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</row>
    <row r="14" spans="1:48" s="173" customFormat="1" ht="76.5" customHeight="1" thickBot="1" x14ac:dyDescent="0.25">
      <c r="A14" s="166"/>
      <c r="B14" s="167"/>
      <c r="C14" s="146" t="s">
        <v>508</v>
      </c>
      <c r="D14" s="184" t="s">
        <v>509</v>
      </c>
      <c r="E14" s="185"/>
      <c r="F14" s="186">
        <f t="shared" si="3"/>
        <v>15171.42643</v>
      </c>
      <c r="G14" s="187">
        <f>SUM(G15:G17)</f>
        <v>1230.97</v>
      </c>
      <c r="H14" s="187">
        <f t="shared" ref="H14:P14" si="5">SUM(H15:H17)</f>
        <v>2907.1464299999998</v>
      </c>
      <c r="I14" s="187">
        <f t="shared" si="5"/>
        <v>1051.0409999999999</v>
      </c>
      <c r="J14" s="187">
        <f t="shared" si="5"/>
        <v>1745.5</v>
      </c>
      <c r="K14" s="187">
        <f t="shared" si="5"/>
        <v>878.94800000000009</v>
      </c>
      <c r="L14" s="187">
        <f t="shared" si="5"/>
        <v>920.05</v>
      </c>
      <c r="M14" s="187">
        <f t="shared" si="5"/>
        <v>945.2650000000001</v>
      </c>
      <c r="N14" s="187">
        <f t="shared" si="5"/>
        <v>1647.703</v>
      </c>
      <c r="O14" s="187">
        <f t="shared" si="5"/>
        <v>2112.33</v>
      </c>
      <c r="P14" s="187">
        <f t="shared" si="5"/>
        <v>1732.473</v>
      </c>
      <c r="Q14" s="188"/>
      <c r="R14" s="170"/>
      <c r="S14" s="189"/>
      <c r="T14" s="172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</row>
    <row r="15" spans="1:48" s="171" customFormat="1" ht="38.25" x14ac:dyDescent="0.2">
      <c r="C15" s="146" t="s">
        <v>600</v>
      </c>
      <c r="D15" s="248" t="s">
        <v>584</v>
      </c>
      <c r="E15" s="185"/>
      <c r="F15" s="249">
        <f t="shared" si="3"/>
        <v>10790.104000000001</v>
      </c>
      <c r="G15" s="198">
        <v>1186.97</v>
      </c>
      <c r="H15" s="198">
        <v>1812.86</v>
      </c>
      <c r="I15" s="198">
        <v>854.85</v>
      </c>
      <c r="J15" s="198">
        <v>1506.5</v>
      </c>
      <c r="K15" s="198">
        <v>739.46</v>
      </c>
      <c r="L15" s="198">
        <v>775.06</v>
      </c>
      <c r="M15" s="198">
        <v>777.32</v>
      </c>
      <c r="N15" s="199">
        <v>1046.97</v>
      </c>
      <c r="O15" s="199">
        <v>1664.53</v>
      </c>
      <c r="P15" s="199">
        <f>425.584</f>
        <v>425.584</v>
      </c>
      <c r="Q15" s="192"/>
      <c r="R15" s="192"/>
      <c r="S15" s="189"/>
      <c r="T15" s="172"/>
    </row>
    <row r="16" spans="1:48" s="171" customFormat="1" ht="51" x14ac:dyDescent="0.2">
      <c r="C16" s="146" t="s">
        <v>601</v>
      </c>
      <c r="D16" s="248" t="s">
        <v>585</v>
      </c>
      <c r="E16" s="185"/>
      <c r="F16" s="249">
        <f t="shared" si="3"/>
        <v>1150</v>
      </c>
      <c r="G16" s="198"/>
      <c r="H16" s="198"/>
      <c r="I16" s="198"/>
      <c r="J16" s="198"/>
      <c r="K16" s="198"/>
      <c r="L16" s="198"/>
      <c r="M16" s="198"/>
      <c r="N16" s="199"/>
      <c r="O16" s="199"/>
      <c r="P16" s="199">
        <v>1150</v>
      </c>
      <c r="Q16" s="192"/>
      <c r="R16" s="192"/>
      <c r="S16" s="189"/>
      <c r="T16" s="172"/>
    </row>
    <row r="17" spans="3:48" s="171" customFormat="1" ht="25.5" x14ac:dyDescent="0.2">
      <c r="C17" s="146" t="s">
        <v>618</v>
      </c>
      <c r="D17" s="248" t="s">
        <v>619</v>
      </c>
      <c r="E17" s="185"/>
      <c r="F17" s="249">
        <f t="shared" si="3"/>
        <v>3231.3224300000002</v>
      </c>
      <c r="G17" s="198">
        <v>44</v>
      </c>
      <c r="H17" s="198">
        <f>458.57143+635.715</f>
        <v>1094.2864300000001</v>
      </c>
      <c r="I17" s="198">
        <f>25+2+169.191</f>
        <v>196.191</v>
      </c>
      <c r="J17" s="198">
        <f>211-2+30</f>
        <v>239</v>
      </c>
      <c r="K17" s="198">
        <f>10+129.488</f>
        <v>139.488</v>
      </c>
      <c r="L17" s="198">
        <f>15+129.99</f>
        <v>144.99</v>
      </c>
      <c r="M17" s="198">
        <f>12+130.945+25</f>
        <v>167.94499999999999</v>
      </c>
      <c r="N17" s="199">
        <f>468+132.733</f>
        <v>600.73299999999995</v>
      </c>
      <c r="O17" s="199">
        <f>32+415.8</f>
        <v>447.8</v>
      </c>
      <c r="P17" s="199">
        <v>156.88900000000001</v>
      </c>
      <c r="Q17" s="192"/>
      <c r="R17" s="192"/>
      <c r="S17" s="189"/>
      <c r="T17" s="172"/>
    </row>
    <row r="18" spans="3:48" s="171" customFormat="1" ht="52.5" customHeight="1" x14ac:dyDescent="0.2">
      <c r="C18" s="183" t="s">
        <v>510</v>
      </c>
      <c r="D18" s="190" t="s">
        <v>511</v>
      </c>
      <c r="E18" s="185"/>
      <c r="F18" s="191">
        <f t="shared" si="3"/>
        <v>583.85699999999997</v>
      </c>
      <c r="G18" s="187">
        <f>G19+G20+G21+G22</f>
        <v>28.12</v>
      </c>
      <c r="H18" s="187">
        <f t="shared" ref="H18:P18" si="6">H19+H20+H21+H22</f>
        <v>39.82</v>
      </c>
      <c r="I18" s="187">
        <f t="shared" si="6"/>
        <v>19.739999999999998</v>
      </c>
      <c r="J18" s="187">
        <f t="shared" si="6"/>
        <v>92.091999999999999</v>
      </c>
      <c r="K18" s="187">
        <f t="shared" si="6"/>
        <v>0</v>
      </c>
      <c r="L18" s="187">
        <f t="shared" si="6"/>
        <v>37.588000000000001</v>
      </c>
      <c r="M18" s="187">
        <f t="shared" si="6"/>
        <v>14.52</v>
      </c>
      <c r="N18" s="187">
        <f t="shared" si="6"/>
        <v>17.420000000000002</v>
      </c>
      <c r="O18" s="187">
        <f t="shared" si="6"/>
        <v>88.72</v>
      </c>
      <c r="P18" s="187">
        <f t="shared" si="6"/>
        <v>245.83699999999999</v>
      </c>
      <c r="Q18" s="192"/>
      <c r="R18" s="192"/>
      <c r="S18" s="189"/>
      <c r="T18" s="172"/>
    </row>
    <row r="19" spans="3:48" s="153" customFormat="1" ht="42.75" customHeight="1" x14ac:dyDescent="0.25">
      <c r="C19" s="146" t="s">
        <v>512</v>
      </c>
      <c r="D19" s="193" t="s">
        <v>513</v>
      </c>
      <c r="E19" s="148"/>
      <c r="F19" s="194">
        <f t="shared" ref="F19:F24" si="7">SUM(G19:P19)</f>
        <v>272.46899999999999</v>
      </c>
      <c r="G19" s="198"/>
      <c r="H19" s="198"/>
      <c r="I19" s="198"/>
      <c r="J19" s="198">
        <v>69.671999999999997</v>
      </c>
      <c r="K19" s="198"/>
      <c r="L19" s="198">
        <f>21.76+5.2</f>
        <v>26.96</v>
      </c>
      <c r="M19" s="198"/>
      <c r="N19" s="199"/>
      <c r="O19" s="199"/>
      <c r="P19" s="200">
        <v>175.83699999999999</v>
      </c>
      <c r="Q19" s="195"/>
      <c r="R19" s="195"/>
      <c r="S19" s="179"/>
      <c r="T19" s="154"/>
    </row>
    <row r="20" spans="3:48" s="153" customFormat="1" ht="61.5" customHeight="1" x14ac:dyDescent="0.25">
      <c r="C20" s="146" t="s">
        <v>514</v>
      </c>
      <c r="D20" s="193" t="s">
        <v>646</v>
      </c>
      <c r="E20" s="148"/>
      <c r="F20" s="194">
        <f>SUM(G20:P20)</f>
        <v>191.38800000000001</v>
      </c>
      <c r="G20" s="198">
        <v>28.12</v>
      </c>
      <c r="H20" s="198">
        <v>39.82</v>
      </c>
      <c r="I20" s="198">
        <v>19.739999999999998</v>
      </c>
      <c r="J20" s="198">
        <v>22.42</v>
      </c>
      <c r="K20" s="198"/>
      <c r="L20" s="198">
        <v>10.628</v>
      </c>
      <c r="M20" s="198">
        <v>14.52</v>
      </c>
      <c r="N20" s="199">
        <v>17.420000000000002</v>
      </c>
      <c r="O20" s="199">
        <v>38.72</v>
      </c>
      <c r="P20" s="200"/>
      <c r="Q20" s="195"/>
      <c r="R20" s="195"/>
      <c r="S20" s="179"/>
      <c r="T20" s="154"/>
    </row>
    <row r="21" spans="3:48" s="153" customFormat="1" ht="41.25" customHeight="1" x14ac:dyDescent="0.25">
      <c r="C21" s="146" t="s">
        <v>515</v>
      </c>
      <c r="D21" s="196" t="s">
        <v>647</v>
      </c>
      <c r="E21" s="148"/>
      <c r="F21" s="194">
        <f t="shared" si="7"/>
        <v>120</v>
      </c>
      <c r="G21" s="198"/>
      <c r="H21" s="198"/>
      <c r="I21" s="198"/>
      <c r="J21" s="198"/>
      <c r="K21" s="198"/>
      <c r="L21" s="198"/>
      <c r="M21" s="198"/>
      <c r="N21" s="199"/>
      <c r="O21" s="199">
        <v>50</v>
      </c>
      <c r="P21" s="200">
        <v>70</v>
      </c>
      <c r="Q21" s="195"/>
      <c r="R21" s="195"/>
      <c r="S21" s="179"/>
      <c r="T21" s="154"/>
    </row>
    <row r="22" spans="3:48" s="153" customFormat="1" ht="26.25" hidden="1" x14ac:dyDescent="0.25">
      <c r="C22" s="146" t="s">
        <v>516</v>
      </c>
      <c r="D22" s="197" t="s">
        <v>517</v>
      </c>
      <c r="E22" s="148"/>
      <c r="F22" s="194">
        <f t="shared" si="7"/>
        <v>0</v>
      </c>
      <c r="G22" s="198"/>
      <c r="H22" s="198"/>
      <c r="I22" s="198"/>
      <c r="J22" s="198"/>
      <c r="K22" s="198"/>
      <c r="L22" s="198"/>
      <c r="M22" s="198"/>
      <c r="N22" s="199"/>
      <c r="O22" s="199"/>
      <c r="P22" s="200"/>
      <c r="Q22" s="195"/>
      <c r="R22" s="195"/>
      <c r="S22" s="179"/>
      <c r="T22" s="154"/>
    </row>
    <row r="23" spans="3:48" s="153" customFormat="1" ht="15.75" hidden="1" x14ac:dyDescent="0.25">
      <c r="C23" s="146"/>
      <c r="D23" s="197"/>
      <c r="E23" s="148"/>
      <c r="F23" s="201">
        <f t="shared" si="7"/>
        <v>0</v>
      </c>
      <c r="G23" s="198"/>
      <c r="H23" s="198"/>
      <c r="I23" s="198"/>
      <c r="J23" s="198"/>
      <c r="K23" s="198"/>
      <c r="L23" s="198"/>
      <c r="M23" s="198"/>
      <c r="N23" s="199"/>
      <c r="O23" s="199"/>
      <c r="P23" s="200"/>
      <c r="Q23" s="195"/>
      <c r="R23" s="195"/>
      <c r="S23" s="179"/>
      <c r="T23" s="154"/>
    </row>
    <row r="24" spans="3:48" s="153" customFormat="1" ht="15.75" hidden="1" x14ac:dyDescent="0.25">
      <c r="C24" s="146" t="s">
        <v>518</v>
      </c>
      <c r="D24" s="193" t="s">
        <v>519</v>
      </c>
      <c r="E24" s="148"/>
      <c r="F24" s="201">
        <f t="shared" si="7"/>
        <v>0</v>
      </c>
      <c r="G24" s="198"/>
      <c r="H24" s="198"/>
      <c r="I24" s="198"/>
      <c r="J24" s="198"/>
      <c r="K24" s="198"/>
      <c r="L24" s="198"/>
      <c r="M24" s="198"/>
      <c r="N24" s="199"/>
      <c r="O24" s="199"/>
      <c r="P24" s="200"/>
      <c r="Q24" s="195"/>
      <c r="R24" s="195"/>
      <c r="S24" s="179"/>
      <c r="T24" s="154"/>
    </row>
    <row r="25" spans="3:48" s="205" customFormat="1" ht="27.75" customHeight="1" x14ac:dyDescent="0.2">
      <c r="C25" s="202"/>
      <c r="D25" s="202" t="s">
        <v>520</v>
      </c>
      <c r="E25" s="202"/>
      <c r="F25" s="203">
        <f>F7+F10</f>
        <v>41718.783430000003</v>
      </c>
      <c r="G25" s="204">
        <f t="shared" ref="G25:P25" si="8">G7+G10</f>
        <v>4216.3599999999997</v>
      </c>
      <c r="H25" s="204">
        <f t="shared" si="8"/>
        <v>6200.8364299999994</v>
      </c>
      <c r="I25" s="204">
        <f t="shared" si="8"/>
        <v>3249.5810000000001</v>
      </c>
      <c r="J25" s="204">
        <f t="shared" si="8"/>
        <v>4404.4219999999996</v>
      </c>
      <c r="K25" s="204">
        <f t="shared" si="8"/>
        <v>2717.0380000000005</v>
      </c>
      <c r="L25" s="204">
        <f t="shared" si="8"/>
        <v>3191.5080000000003</v>
      </c>
      <c r="M25" s="204">
        <f t="shared" si="8"/>
        <v>3251.7450000000003</v>
      </c>
      <c r="N25" s="204">
        <f t="shared" si="8"/>
        <v>4261.0329999999994</v>
      </c>
      <c r="O25" s="204">
        <f t="shared" si="8"/>
        <v>7141.83</v>
      </c>
      <c r="P25" s="204">
        <f t="shared" si="8"/>
        <v>3084.43</v>
      </c>
    </row>
    <row r="26" spans="3:48" x14ac:dyDescent="0.2">
      <c r="C26" s="206"/>
      <c r="D26" s="206"/>
      <c r="E26" s="206"/>
      <c r="F26" s="207"/>
      <c r="G26" s="207"/>
      <c r="H26" s="206"/>
      <c r="I26" s="206"/>
      <c r="J26" s="206"/>
      <c r="K26" s="206"/>
      <c r="L26" s="206"/>
      <c r="M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</row>
    <row r="27" spans="3:48" x14ac:dyDescent="0.2">
      <c r="F27" s="207"/>
    </row>
    <row r="29" spans="3:48" x14ac:dyDescent="0.2">
      <c r="F29" s="207"/>
    </row>
  </sheetData>
  <mergeCells count="7">
    <mergeCell ref="K1:M1"/>
    <mergeCell ref="N1:P1"/>
    <mergeCell ref="C2:N2"/>
    <mergeCell ref="D4:D5"/>
    <mergeCell ref="E4:E5"/>
    <mergeCell ref="F4:F5"/>
    <mergeCell ref="G4:P4"/>
  </mergeCells>
  <pageMargins left="0" right="0" top="0.94488188976377963" bottom="0.15748031496062992" header="0" footer="0"/>
  <pageSetup paperSize="9" scale="61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1" sqref="M3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прил 10 МП 19г</vt:lpstr>
      <vt:lpstr>прил 12 разд-19г</vt:lpstr>
      <vt:lpstr>прил 14 КЦСР 19</vt:lpstr>
      <vt:lpstr>прил 16  вед стр 19г</vt:lpstr>
      <vt:lpstr>прил 18 БИ (19</vt:lpstr>
      <vt:lpstr>прил 20 дор фонд (19г)</vt:lpstr>
      <vt:lpstr>22 СП-2019</vt:lpstr>
      <vt:lpstr>Лист1</vt:lpstr>
      <vt:lpstr>'прил 14 КЦСР 19'!Заголовки_для_печати</vt:lpstr>
      <vt:lpstr>'прил 16  вед стр 19г'!Заголовки_для_печати</vt:lpstr>
      <vt:lpstr>'22 СП-2019'!Область_печати</vt:lpstr>
      <vt:lpstr>'прил 10 МП 19г'!Область_печати</vt:lpstr>
      <vt:lpstr>'прил 12 разд-19г'!Область_печати</vt:lpstr>
      <vt:lpstr>'прил 14 КЦСР 19'!Область_печати</vt:lpstr>
      <vt:lpstr>'прил 16  вед стр 19г'!Область_печати</vt:lpstr>
      <vt:lpstr>'прил 18 БИ (19'!Область_печати</vt:lpstr>
      <vt:lpstr>'прил 20 дор фонд (19г)'!Область_печати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2019-05-28T09:49:57Z</cp:lastPrinted>
  <dcterms:created xsi:type="dcterms:W3CDTF">2016-11-07T08:50:55Z</dcterms:created>
  <dcterms:modified xsi:type="dcterms:W3CDTF">2019-05-28T10:05:34Z</dcterms:modified>
</cp:coreProperties>
</file>